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20550" windowHeight="3720" tabRatio="876"/>
  </bookViews>
  <sheets>
    <sheet name="2558-09" sheetId="33" r:id="rId1"/>
    <sheet name="OD" sheetId="2" r:id="rId2"/>
    <sheet name="ปันส่วน" sheetId="3" r:id="rId3"/>
    <sheet name="BKK-กันยายน 58" sheetId="55" r:id="rId4"/>
    <sheet name="CHON-กันยายน 58" sheetId="61" r:id="rId5"/>
    <sheet name="PTY-กันยายน 58" sheetId="59" r:id="rId6"/>
    <sheet name="OutBKK-เงินเดือน ก.ย." sheetId="63" r:id="rId7"/>
    <sheet name="การใช้รถ -  ระยะไมล์  ก.ย." sheetId="62" r:id="rId8"/>
    <sheet name="Sheet1" sheetId="64" r:id="rId9"/>
  </sheets>
  <definedNames>
    <definedName name="_xlnm._FilterDatabase" localSheetId="0" hidden="1">'2558-09'!$J$1:$T$5</definedName>
    <definedName name="_xlnm._FilterDatabase" localSheetId="7" hidden="1">'การใช้รถ -  ระยะไมล์  ก.ย.'!$B$2:$C$17</definedName>
    <definedName name="_xlnm.Print_Area" localSheetId="0">'2558-09'!$A$1:$T$121</definedName>
    <definedName name="_xlnm.Print_Area" localSheetId="4">'CHON-กันยายน 58'!#REF!</definedName>
  </definedNames>
  <calcPr calcId="125725"/>
</workbook>
</file>

<file path=xl/calcChain.xml><?xml version="1.0" encoding="utf-8"?>
<calcChain xmlns="http://schemas.openxmlformats.org/spreadsheetml/2006/main">
  <c r="K18" i="55"/>
  <c r="G11" i="2"/>
  <c r="P11"/>
  <c r="E11"/>
  <c r="K35" i="55"/>
  <c r="K14"/>
  <c r="O45" i="33"/>
  <c r="O49"/>
  <c r="K47" i="55"/>
  <c r="K38"/>
  <c r="K34"/>
  <c r="K19"/>
  <c r="K6"/>
  <c r="K40"/>
  <c r="K43"/>
  <c r="K46"/>
  <c r="J46"/>
  <c r="C47"/>
  <c r="I46"/>
  <c r="H46"/>
  <c r="G46"/>
  <c r="F46"/>
  <c r="E46"/>
  <c r="D46"/>
  <c r="C46"/>
  <c r="K45"/>
  <c r="J45"/>
  <c r="K41"/>
  <c r="K24"/>
  <c r="K26"/>
  <c r="K7"/>
  <c r="K42"/>
  <c r="K10"/>
  <c r="K31"/>
  <c r="K30"/>
  <c r="K29"/>
  <c r="K12"/>
  <c r="K36"/>
  <c r="K4"/>
  <c r="K11"/>
  <c r="K37"/>
  <c r="K9"/>
  <c r="Q11" i="2" l="1"/>
  <c r="R11"/>
  <c r="S11"/>
  <c r="B11" l="1"/>
  <c r="K72" i="33"/>
  <c r="K71"/>
  <c r="K81"/>
  <c r="K74"/>
  <c r="K77"/>
  <c r="K70"/>
  <c r="P43"/>
  <c r="K83"/>
  <c r="K82"/>
  <c r="K76"/>
  <c r="K75"/>
  <c r="P48"/>
  <c r="O47" l="1"/>
  <c r="P47"/>
  <c r="P50"/>
  <c r="O48"/>
  <c r="K79"/>
  <c r="H17" i="61" l="1"/>
  <c r="F7" l="1"/>
  <c r="M7"/>
  <c r="D11" i="2" l="1"/>
  <c r="C11"/>
  <c r="F11"/>
  <c r="K59" i="33"/>
  <c r="V63"/>
  <c r="L22" i="61" l="1"/>
  <c r="M18"/>
  <c r="D12" i="3" l="1"/>
  <c r="D29" i="2" s="1"/>
  <c r="F12" i="3"/>
  <c r="H29" i="2" s="1"/>
  <c r="N21" i="61"/>
  <c r="L21"/>
  <c r="J21"/>
  <c r="E10" i="3"/>
  <c r="J23" i="59" l="1"/>
  <c r="J25"/>
  <c r="F7"/>
  <c r="O13" l="1"/>
  <c r="N13"/>
  <c r="L13"/>
  <c r="P13"/>
  <c r="M13"/>
  <c r="M20"/>
  <c r="N22"/>
  <c r="L22"/>
  <c r="J22"/>
  <c r="S16"/>
  <c r="R16"/>
  <c r="O16"/>
  <c r="N16"/>
  <c r="L16"/>
  <c r="H16"/>
  <c r="AA16" l="1"/>
  <c r="P16"/>
  <c r="U16"/>
  <c r="V16" s="1"/>
  <c r="M16"/>
  <c r="I16"/>
  <c r="F16"/>
  <c r="M19" i="61"/>
  <c r="J16" i="59" l="1"/>
  <c r="X16"/>
  <c r="J24"/>
  <c r="J26" s="1"/>
  <c r="H44" l="1"/>
  <c r="H45" s="1"/>
  <c r="J48" s="1"/>
  <c r="X42"/>
  <c r="V42"/>
  <c r="U42"/>
  <c r="J42"/>
  <c r="AA42" s="1"/>
  <c r="I42"/>
  <c r="X41"/>
  <c r="U41"/>
  <c r="V41" s="1"/>
  <c r="I41"/>
  <c r="J41" s="1"/>
  <c r="AA41" s="1"/>
  <c r="X40"/>
  <c r="U40"/>
  <c r="V40" s="1"/>
  <c r="I40"/>
  <c r="J40" s="1"/>
  <c r="AA40" s="1"/>
  <c r="X39"/>
  <c r="I39"/>
  <c r="J39" s="1"/>
  <c r="AA39" s="1"/>
  <c r="X38"/>
  <c r="U38"/>
  <c r="V38" s="1"/>
  <c r="I38"/>
  <c r="J38" s="1"/>
  <c r="AA38" s="1"/>
  <c r="X37"/>
  <c r="U37"/>
  <c r="V37" s="1"/>
  <c r="I37"/>
  <c r="J37" s="1"/>
  <c r="AA37" s="1"/>
  <c r="X36"/>
  <c r="U36"/>
  <c r="V36" s="1"/>
  <c r="I36"/>
  <c r="J36" s="1"/>
  <c r="AA36" s="1"/>
  <c r="X35"/>
  <c r="U35"/>
  <c r="V35" s="1"/>
  <c r="I35"/>
  <c r="J35" s="1"/>
  <c r="AA35" s="1"/>
  <c r="X34"/>
  <c r="U34"/>
  <c r="V34" s="1"/>
  <c r="I34"/>
  <c r="C34"/>
  <c r="C35" s="1"/>
  <c r="C36" s="1"/>
  <c r="C37" s="1"/>
  <c r="C38" s="1"/>
  <c r="C39" s="1"/>
  <c r="C40" s="1"/>
  <c r="C41" s="1"/>
  <c r="X33"/>
  <c r="X45" s="1"/>
  <c r="U33"/>
  <c r="V33" s="1"/>
  <c r="I33"/>
  <c r="J33" s="1"/>
  <c r="AA33" s="1"/>
  <c r="Q19"/>
  <c r="N18"/>
  <c r="H18"/>
  <c r="H19" s="1"/>
  <c r="X17"/>
  <c r="I17"/>
  <c r="J17" s="1"/>
  <c r="X15"/>
  <c r="U15"/>
  <c r="V15" s="1"/>
  <c r="I15"/>
  <c r="J15" s="1"/>
  <c r="AA15" s="1"/>
  <c r="X14"/>
  <c r="U14"/>
  <c r="V14" s="1"/>
  <c r="I14"/>
  <c r="J14" s="1"/>
  <c r="AA14" s="1"/>
  <c r="X13"/>
  <c r="U13"/>
  <c r="V13" s="1"/>
  <c r="I13"/>
  <c r="J13" s="1"/>
  <c r="AA13" s="1"/>
  <c r="X12"/>
  <c r="I12"/>
  <c r="J12" s="1"/>
  <c r="AA12" s="1"/>
  <c r="X11"/>
  <c r="U11"/>
  <c r="V11" s="1"/>
  <c r="I11"/>
  <c r="J11" s="1"/>
  <c r="AA11" s="1"/>
  <c r="X10"/>
  <c r="U10"/>
  <c r="V10" s="1"/>
  <c r="I10"/>
  <c r="J10" s="1"/>
  <c r="AA10" s="1"/>
  <c r="X9"/>
  <c r="U9"/>
  <c r="V9" s="1"/>
  <c r="I9"/>
  <c r="J9" s="1"/>
  <c r="AA9" s="1"/>
  <c r="X8"/>
  <c r="U8"/>
  <c r="V8" s="1"/>
  <c r="I8"/>
  <c r="J8" s="1"/>
  <c r="AA8" s="1"/>
  <c r="X7"/>
  <c r="U7"/>
  <c r="V7" s="1"/>
  <c r="I7"/>
  <c r="J7" s="1"/>
  <c r="AA7" s="1"/>
  <c r="X19"/>
  <c r="H58" i="61"/>
  <c r="H59" s="1"/>
  <c r="J62" s="1"/>
  <c r="X56"/>
  <c r="V56"/>
  <c r="U56"/>
  <c r="J56"/>
  <c r="AA56" s="1"/>
  <c r="I56"/>
  <c r="X55"/>
  <c r="U55"/>
  <c r="V55" s="1"/>
  <c r="I55"/>
  <c r="J55" s="1"/>
  <c r="AA55" s="1"/>
  <c r="X54"/>
  <c r="V54"/>
  <c r="U54"/>
  <c r="J54"/>
  <c r="AA54" s="1"/>
  <c r="I54"/>
  <c r="X53"/>
  <c r="V53"/>
  <c r="J53"/>
  <c r="AA53" s="1"/>
  <c r="I53"/>
  <c r="F53"/>
  <c r="X52"/>
  <c r="V52"/>
  <c r="U52"/>
  <c r="J52"/>
  <c r="AA52" s="1"/>
  <c r="I52"/>
  <c r="F52"/>
  <c r="X51"/>
  <c r="V51"/>
  <c r="I51"/>
  <c r="J51" s="1"/>
  <c r="AA51" s="1"/>
  <c r="X50"/>
  <c r="V50"/>
  <c r="U50"/>
  <c r="J50"/>
  <c r="AA50" s="1"/>
  <c r="I50"/>
  <c r="C50"/>
  <c r="C51" s="1"/>
  <c r="C52" s="1"/>
  <c r="C53" s="1"/>
  <c r="C54" s="1"/>
  <c r="C55" s="1"/>
  <c r="C56" s="1"/>
  <c r="X49"/>
  <c r="X59" s="1"/>
  <c r="U49"/>
  <c r="V49" s="1"/>
  <c r="I49"/>
  <c r="I58" s="1"/>
  <c r="I59" s="1"/>
  <c r="F49"/>
  <c r="F58" s="1"/>
  <c r="F59" s="1"/>
  <c r="S18"/>
  <c r="R18"/>
  <c r="Q18"/>
  <c r="P18"/>
  <c r="O18"/>
  <c r="N18"/>
  <c r="L18"/>
  <c r="H18"/>
  <c r="N17"/>
  <c r="U16"/>
  <c r="X15"/>
  <c r="V15"/>
  <c r="U15"/>
  <c r="J15"/>
  <c r="AA15" s="1"/>
  <c r="I15"/>
  <c r="X14"/>
  <c r="V14"/>
  <c r="U14"/>
  <c r="J14"/>
  <c r="AA14" s="1"/>
  <c r="I14"/>
  <c r="X13"/>
  <c r="V13"/>
  <c r="U13"/>
  <c r="J13"/>
  <c r="AA13" s="1"/>
  <c r="I13"/>
  <c r="X12"/>
  <c r="V12"/>
  <c r="I12"/>
  <c r="J12" s="1"/>
  <c r="AA12" s="1"/>
  <c r="V11"/>
  <c r="J11"/>
  <c r="I11"/>
  <c r="X10"/>
  <c r="V10"/>
  <c r="U10"/>
  <c r="J10"/>
  <c r="AA10" s="1"/>
  <c r="I10"/>
  <c r="X9"/>
  <c r="V9"/>
  <c r="U9"/>
  <c r="J9"/>
  <c r="AA9" s="1"/>
  <c r="I9"/>
  <c r="V8"/>
  <c r="I8"/>
  <c r="I17" s="1"/>
  <c r="I18" s="1"/>
  <c r="F8"/>
  <c r="X7"/>
  <c r="X18" s="1"/>
  <c r="V7"/>
  <c r="V18" s="1"/>
  <c r="U7"/>
  <c r="U18" s="1"/>
  <c r="J7"/>
  <c r="I7"/>
  <c r="F17"/>
  <c r="F18" s="1"/>
  <c r="F11" i="3"/>
  <c r="E11"/>
  <c r="D11"/>
  <c r="E12"/>
  <c r="F29" i="2" s="1"/>
  <c r="J29" s="1"/>
  <c r="K56" i="55"/>
  <c r="K57" s="1"/>
  <c r="K55"/>
  <c r="K53"/>
  <c r="K51"/>
  <c r="K44"/>
  <c r="K33"/>
  <c r="K32"/>
  <c r="K28"/>
  <c r="K27"/>
  <c r="K25"/>
  <c r="K23"/>
  <c r="K22"/>
  <c r="K21"/>
  <c r="K20"/>
  <c r="K17"/>
  <c r="K16"/>
  <c r="K15"/>
  <c r="K13"/>
  <c r="K8"/>
  <c r="K5"/>
  <c r="K3"/>
  <c r="K39" s="1"/>
  <c r="I11" i="63"/>
  <c r="I10"/>
  <c r="I9"/>
  <c r="I8"/>
  <c r="I7"/>
  <c r="I6"/>
  <c r="I13"/>
  <c r="G13"/>
  <c r="F13"/>
  <c r="G11"/>
  <c r="G10"/>
  <c r="G9"/>
  <c r="F9"/>
  <c r="G8"/>
  <c r="F8"/>
  <c r="G7"/>
  <c r="G6"/>
  <c r="F6"/>
  <c r="K59" i="55" l="1"/>
  <c r="I44" i="59"/>
  <c r="I45" s="1"/>
  <c r="I18"/>
  <c r="I19" s="1"/>
  <c r="AA17"/>
  <c r="J34"/>
  <c r="AA34" s="1"/>
  <c r="AA45" s="1"/>
  <c r="J8" i="61"/>
  <c r="AA7" s="1"/>
  <c r="AA18" s="1"/>
  <c r="J49"/>
  <c r="J44" i="59" l="1"/>
  <c r="J45" s="1"/>
  <c r="J18"/>
  <c r="J19" s="1"/>
  <c r="AA19"/>
  <c r="J17" i="61"/>
  <c r="J18" s="1"/>
  <c r="J58"/>
  <c r="J59" s="1"/>
  <c r="AA49"/>
  <c r="AA59" s="1"/>
  <c r="K68" i="33" l="1"/>
  <c r="O43"/>
  <c r="D52" i="62"/>
  <c r="D44"/>
  <c r="D55" s="1"/>
  <c r="J15"/>
  <c r="J14"/>
  <c r="D60" s="1"/>
  <c r="J13"/>
  <c r="J12"/>
  <c r="J11"/>
  <c r="J10"/>
  <c r="D61" s="1"/>
  <c r="J9"/>
  <c r="J8"/>
  <c r="J7"/>
  <c r="J6"/>
  <c r="D58" s="1"/>
  <c r="J5"/>
  <c r="J4"/>
  <c r="A4"/>
  <c r="A5" s="1"/>
  <c r="A6" s="1"/>
  <c r="A7" s="1"/>
  <c r="A8" s="1"/>
  <c r="A9" s="1"/>
  <c r="A10" s="1"/>
  <c r="A11" s="1"/>
  <c r="A12" s="1"/>
  <c r="A13" s="1"/>
  <c r="A14" s="1"/>
  <c r="A15" s="1"/>
  <c r="J3"/>
  <c r="D59" s="1"/>
  <c r="P10" i="2"/>
  <c r="D62" i="62" l="1"/>
  <c r="D65" s="1"/>
  <c r="J18"/>
  <c r="J34" i="55"/>
  <c r="J19"/>
  <c r="J14"/>
  <c r="J4"/>
  <c r="D67" i="62" l="1"/>
  <c r="D68"/>
  <c r="D69"/>
  <c r="D70"/>
  <c r="J18" i="55"/>
  <c r="P46" i="33"/>
  <c r="D71" i="62" l="1"/>
  <c r="O51" i="33" l="1"/>
  <c r="O50"/>
  <c r="O46"/>
  <c r="P45"/>
  <c r="K69"/>
  <c r="F10" i="3" l="1"/>
  <c r="F9"/>
  <c r="K60" i="33" l="1"/>
  <c r="F11" i="63" l="1"/>
  <c r="F10"/>
  <c r="F7"/>
  <c r="H28" i="2"/>
  <c r="F28"/>
  <c r="D28"/>
  <c r="S10"/>
  <c r="R10"/>
  <c r="Q10"/>
  <c r="B10"/>
  <c r="D10"/>
  <c r="C10"/>
  <c r="J28" l="1"/>
  <c r="E10"/>
  <c r="J32" i="55"/>
  <c r="I32"/>
  <c r="H32"/>
  <c r="G32"/>
  <c r="J26"/>
  <c r="J21"/>
  <c r="J22"/>
  <c r="J13"/>
  <c r="J6"/>
  <c r="J38"/>
  <c r="C39"/>
  <c r="I38"/>
  <c r="H38"/>
  <c r="G38"/>
  <c r="F38"/>
  <c r="E38"/>
  <c r="D38"/>
  <c r="C38"/>
  <c r="J35" l="1"/>
  <c r="J43"/>
  <c r="J40"/>
  <c r="J41"/>
  <c r="J24"/>
  <c r="J42"/>
  <c r="J20"/>
  <c r="J10"/>
  <c r="J12"/>
  <c r="J29"/>
  <c r="J7"/>
  <c r="J36"/>
  <c r="I36"/>
  <c r="H36"/>
  <c r="G36"/>
  <c r="F36"/>
  <c r="E36"/>
  <c r="D36"/>
  <c r="C36"/>
  <c r="C30"/>
  <c r="I35"/>
  <c r="H35"/>
  <c r="J11"/>
  <c r="J31"/>
  <c r="J30"/>
  <c r="J37"/>
  <c r="J9"/>
  <c r="J56" l="1"/>
  <c r="J57" s="1"/>
  <c r="J55"/>
  <c r="J53"/>
  <c r="J51"/>
  <c r="J44"/>
  <c r="J47" s="1"/>
  <c r="J33"/>
  <c r="J28"/>
  <c r="J27"/>
  <c r="J25"/>
  <c r="J23"/>
  <c r="J17"/>
  <c r="J16"/>
  <c r="J15"/>
  <c r="J8"/>
  <c r="J5"/>
  <c r="J3"/>
  <c r="F10" i="2"/>
  <c r="J39" i="55" l="1"/>
  <c r="J59" l="1"/>
  <c r="P9" i="2"/>
  <c r="I18" i="55" l="1"/>
  <c r="I14"/>
  <c r="I13"/>
  <c r="I19"/>
  <c r="I28"/>
  <c r="I6"/>
  <c r="I9"/>
  <c r="I22"/>
  <c r="I37"/>
  <c r="J10" i="63"/>
  <c r="H10"/>
  <c r="J11"/>
  <c r="H11"/>
  <c r="J9"/>
  <c r="H9"/>
  <c r="J8"/>
  <c r="H8"/>
  <c r="J7"/>
  <c r="H7"/>
  <c r="H13" s="1"/>
  <c r="J6"/>
  <c r="J13" s="1"/>
  <c r="H6"/>
  <c r="G14" l="1"/>
  <c r="D10" i="3" l="1"/>
  <c r="B9" i="2" l="1"/>
  <c r="E9" i="3"/>
  <c r="H27" i="2"/>
  <c r="D9" l="1"/>
  <c r="C9"/>
  <c r="E9" l="1"/>
  <c r="F9"/>
  <c r="G9" s="1"/>
  <c r="F27"/>
  <c r="D27"/>
  <c r="S9"/>
  <c r="R9"/>
  <c r="Q9"/>
  <c r="J27" l="1"/>
  <c r="I27" s="1"/>
  <c r="E27" l="1"/>
  <c r="G27"/>
  <c r="I34" i="55"/>
  <c r="I4"/>
  <c r="I16"/>
  <c r="K27" i="2" l="1"/>
  <c r="I31" i="55"/>
  <c r="I7"/>
  <c r="I11"/>
  <c r="I10"/>
  <c r="I29"/>
  <c r="I12"/>
  <c r="I24"/>
  <c r="I26"/>
  <c r="I55"/>
  <c r="I42"/>
  <c r="I44"/>
  <c r="I41"/>
  <c r="I43"/>
  <c r="I40"/>
  <c r="I47" s="1"/>
  <c r="I53"/>
  <c r="I51"/>
  <c r="I57"/>
  <c r="I17"/>
  <c r="I21"/>
  <c r="I30"/>
  <c r="I3"/>
  <c r="I56"/>
  <c r="I33"/>
  <c r="I27"/>
  <c r="I25"/>
  <c r="I23"/>
  <c r="I20"/>
  <c r="I15"/>
  <c r="I8"/>
  <c r="I5"/>
  <c r="D9" i="3"/>
  <c r="I39" i="55" l="1"/>
  <c r="I59" l="1"/>
  <c r="H10"/>
  <c r="G8" i="2" l="1"/>
  <c r="P8"/>
  <c r="S8"/>
  <c r="R8"/>
  <c r="Q8"/>
  <c r="E8"/>
  <c r="K78" i="33" l="1"/>
  <c r="F8" i="2" l="1"/>
  <c r="B8"/>
  <c r="D8"/>
  <c r="C8"/>
  <c r="D26"/>
  <c r="H26"/>
  <c r="F26"/>
  <c r="F8" i="3"/>
  <c r="E8"/>
  <c r="H27" i="55"/>
  <c r="H26"/>
  <c r="H25"/>
  <c r="H24"/>
  <c r="H23"/>
  <c r="H12"/>
  <c r="H29"/>
  <c r="H30"/>
  <c r="G30"/>
  <c r="F30"/>
  <c r="E30"/>
  <c r="D30"/>
  <c r="H13"/>
  <c r="H8"/>
  <c r="H7"/>
  <c r="H3"/>
  <c r="H17"/>
  <c r="H18"/>
  <c r="H31"/>
  <c r="H11"/>
  <c r="H28"/>
  <c r="H5"/>
  <c r="H6"/>
  <c r="H15"/>
  <c r="H14"/>
  <c r="H34"/>
  <c r="H16"/>
  <c r="H20"/>
  <c r="H22"/>
  <c r="H19"/>
  <c r="H33"/>
  <c r="H4"/>
  <c r="H21"/>
  <c r="H37"/>
  <c r="H9"/>
  <c r="H56"/>
  <c r="H41"/>
  <c r="H43"/>
  <c r="H40"/>
  <c r="H44"/>
  <c r="J26" i="2" l="1"/>
  <c r="H57" i="55" l="1"/>
  <c r="H55"/>
  <c r="H53"/>
  <c r="H51"/>
  <c r="H47"/>
  <c r="H39"/>
  <c r="G51" i="3"/>
  <c r="H59" i="55" l="1"/>
  <c r="D25" i="2" l="1"/>
  <c r="P7"/>
  <c r="F7" s="1"/>
  <c r="H25" l="1"/>
  <c r="F25"/>
  <c r="J25" l="1"/>
  <c r="G57" i="55"/>
  <c r="F57"/>
  <c r="E57"/>
  <c r="D57"/>
  <c r="C57"/>
  <c r="G55"/>
  <c r="G53"/>
  <c r="G51"/>
  <c r="G47"/>
  <c r="G39"/>
  <c r="G59" l="1"/>
  <c r="F51" i="3"/>
  <c r="D51"/>
  <c r="J65" i="33" l="1"/>
  <c r="D24" i="2" l="1"/>
  <c r="H24"/>
  <c r="F24"/>
  <c r="J24" l="1"/>
  <c r="D55" i="55"/>
  <c r="E55"/>
  <c r="F55"/>
  <c r="D53"/>
  <c r="E53"/>
  <c r="F53"/>
  <c r="D51"/>
  <c r="E51"/>
  <c r="F51"/>
  <c r="C53"/>
  <c r="C55"/>
  <c r="C51"/>
  <c r="D47"/>
  <c r="E47"/>
  <c r="F47"/>
  <c r="D39"/>
  <c r="D59" s="1"/>
  <c r="E39"/>
  <c r="E59" s="1"/>
  <c r="F39"/>
  <c r="F59" s="1"/>
  <c r="C59"/>
  <c r="P6" i="2" l="1"/>
  <c r="F6" s="1"/>
  <c r="D21" l="1"/>
  <c r="H23"/>
  <c r="F23"/>
  <c r="D23"/>
  <c r="T5"/>
  <c r="U5" s="1"/>
  <c r="F5"/>
  <c r="J23" l="1"/>
  <c r="H21"/>
  <c r="F21"/>
  <c r="J21" l="1"/>
  <c r="P3"/>
  <c r="P4" l="1"/>
  <c r="F4" s="1"/>
  <c r="D22" l="1"/>
  <c r="F22"/>
  <c r="H22" l="1"/>
  <c r="J22" s="1"/>
  <c r="T49" i="33" l="1"/>
  <c r="B33" i="2"/>
  <c r="I27" i="3"/>
  <c r="H27"/>
  <c r="R65" i="33" s="1"/>
  <c r="G27" i="3"/>
  <c r="S65" i="33" s="1"/>
  <c r="F27" i="3"/>
  <c r="P65" i="33" s="1"/>
  <c r="E27" i="3"/>
  <c r="O65" i="33" s="1"/>
  <c r="C27" i="3"/>
  <c r="M65" i="33" s="1"/>
  <c r="B27" i="3"/>
  <c r="L65" i="33" s="1"/>
  <c r="D27" i="3"/>
  <c r="N65" i="33" s="1"/>
  <c r="T4" i="2"/>
  <c r="U4" s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P15"/>
  <c r="S15"/>
  <c r="R15"/>
  <c r="Q15"/>
  <c r="G4"/>
  <c r="E22" s="1"/>
  <c r="G5"/>
  <c r="E23" s="1"/>
  <c r="G6"/>
  <c r="G7"/>
  <c r="G10"/>
  <c r="G12"/>
  <c r="G13"/>
  <c r="G14"/>
  <c r="C15"/>
  <c r="D15"/>
  <c r="E15"/>
  <c r="P52" i="33"/>
  <c r="O52"/>
  <c r="K62"/>
  <c r="J9" i="3"/>
  <c r="M31" i="33"/>
  <c r="T44"/>
  <c r="L31"/>
  <c r="T45"/>
  <c r="T46"/>
  <c r="T47"/>
  <c r="T48"/>
  <c r="B15" i="2"/>
  <c r="T51" i="33"/>
  <c r="J4" i="3"/>
  <c r="J5"/>
  <c r="J6"/>
  <c r="J7"/>
  <c r="J8"/>
  <c r="J10"/>
  <c r="J11"/>
  <c r="J12"/>
  <c r="J13"/>
  <c r="J14"/>
  <c r="J15"/>
  <c r="A32"/>
  <c r="A33" s="1"/>
  <c r="A34" s="1"/>
  <c r="A35" s="1"/>
  <c r="A36" s="1"/>
  <c r="A37" s="1"/>
  <c r="A40"/>
  <c r="A41" s="1"/>
  <c r="A42" s="1"/>
  <c r="A43" s="1"/>
  <c r="A44" s="1"/>
  <c r="A45" s="1"/>
  <c r="A46" s="1"/>
  <c r="A47" s="1"/>
  <c r="A48" s="1"/>
  <c r="A49" s="1"/>
  <c r="A50" s="1"/>
  <c r="K39" i="33"/>
  <c r="K89" s="1"/>
  <c r="R89"/>
  <c r="S89"/>
  <c r="S91" s="1"/>
  <c r="T41"/>
  <c r="T42"/>
  <c r="N52"/>
  <c r="Q52"/>
  <c r="R52"/>
  <c r="S52"/>
  <c r="Q65"/>
  <c r="L39"/>
  <c r="M39"/>
  <c r="M89" s="1"/>
  <c r="M3"/>
  <c r="M52"/>
  <c r="M2"/>
  <c r="L52"/>
  <c r="T50"/>
  <c r="T43"/>
  <c r="L89"/>
  <c r="M62"/>
  <c r="L62"/>
  <c r="L85"/>
  <c r="M85"/>
  <c r="G29" i="2" l="1"/>
  <c r="E29"/>
  <c r="I29"/>
  <c r="G28"/>
  <c r="E28"/>
  <c r="I28"/>
  <c r="R91" i="33"/>
  <c r="I26" i="2"/>
  <c r="E26"/>
  <c r="G26"/>
  <c r="N89" i="33"/>
  <c r="I25" i="2"/>
  <c r="E25"/>
  <c r="G25"/>
  <c r="V67" i="33"/>
  <c r="G24" i="2"/>
  <c r="I24"/>
  <c r="E24"/>
  <c r="V65" i="33"/>
  <c r="V66"/>
  <c r="O89"/>
  <c r="I23" i="2"/>
  <c r="G23"/>
  <c r="M53" i="33"/>
  <c r="M56" s="1"/>
  <c r="M86"/>
  <c r="M88" s="1"/>
  <c r="M90" s="1"/>
  <c r="L86"/>
  <c r="L88" s="1"/>
  <c r="L90" s="1"/>
  <c r="L96" s="1"/>
  <c r="I22" i="2"/>
  <c r="G22"/>
  <c r="K53" i="33"/>
  <c r="L53"/>
  <c r="L56" s="1"/>
  <c r="Q53"/>
  <c r="Q56" s="1"/>
  <c r="T52"/>
  <c r="T15" i="2"/>
  <c r="U15" s="1"/>
  <c r="Q89" i="33"/>
  <c r="Q91" s="1"/>
  <c r="S53"/>
  <c r="S56" s="1"/>
  <c r="T3" i="2"/>
  <c r="U3" s="1"/>
  <c r="J27" i="3"/>
  <c r="F3" i="2"/>
  <c r="O3" i="33"/>
  <c r="R53"/>
  <c r="R56" s="1"/>
  <c r="O2"/>
  <c r="N2"/>
  <c r="N3"/>
  <c r="P3"/>
  <c r="P2"/>
  <c r="T65"/>
  <c r="K29" i="2" l="1"/>
  <c r="K28"/>
  <c r="O91" i="33"/>
  <c r="N91"/>
  <c r="K26" i="2"/>
  <c r="K25"/>
  <c r="K24"/>
  <c r="J71" i="33"/>
  <c r="P71" s="1"/>
  <c r="J68"/>
  <c r="N59"/>
  <c r="K23" i="2"/>
  <c r="L92" i="33"/>
  <c r="K22" i="2"/>
  <c r="M96" i="33"/>
  <c r="M92"/>
  <c r="J72"/>
  <c r="Q72" s="1"/>
  <c r="J77"/>
  <c r="R77" s="1"/>
  <c r="J69"/>
  <c r="Q69" s="1"/>
  <c r="J78"/>
  <c r="Q78" s="1"/>
  <c r="J70"/>
  <c r="J66"/>
  <c r="S66" s="1"/>
  <c r="F15" i="2"/>
  <c r="G15" s="1"/>
  <c r="G3"/>
  <c r="E21" s="1"/>
  <c r="J67" i="33"/>
  <c r="P67" s="1"/>
  <c r="J80"/>
  <c r="N80" s="1"/>
  <c r="J79"/>
  <c r="S79" s="1"/>
  <c r="J84"/>
  <c r="S84" s="1"/>
  <c r="J76"/>
  <c r="S76" s="1"/>
  <c r="J74"/>
  <c r="P74" s="1"/>
  <c r="J73"/>
  <c r="N73" s="1"/>
  <c r="J83"/>
  <c r="N83" s="1"/>
  <c r="J82"/>
  <c r="N82" s="1"/>
  <c r="J81"/>
  <c r="P81" s="1"/>
  <c r="J75"/>
  <c r="S75" s="1"/>
  <c r="V36"/>
  <c r="P89"/>
  <c r="P61"/>
  <c r="R60"/>
  <c r="Q61"/>
  <c r="R59"/>
  <c r="S59"/>
  <c r="P59"/>
  <c r="Q60"/>
  <c r="O59"/>
  <c r="Q59"/>
  <c r="P60"/>
  <c r="N61"/>
  <c r="S61"/>
  <c r="S60"/>
  <c r="N60"/>
  <c r="R61"/>
  <c r="O60"/>
  <c r="O61"/>
  <c r="O71" l="1"/>
  <c r="Q71"/>
  <c r="R71"/>
  <c r="P91"/>
  <c r="T91" s="1"/>
  <c r="S71"/>
  <c r="N71"/>
  <c r="R70"/>
  <c r="O70"/>
  <c r="N79"/>
  <c r="V32"/>
  <c r="V35"/>
  <c r="V33"/>
  <c r="V37"/>
  <c r="N72"/>
  <c r="O72"/>
  <c r="S73"/>
  <c r="S72"/>
  <c r="Q79"/>
  <c r="S69"/>
  <c r="O69"/>
  <c r="O75"/>
  <c r="P72"/>
  <c r="R72"/>
  <c r="R73"/>
  <c r="P73"/>
  <c r="Q73"/>
  <c r="O73"/>
  <c r="O76"/>
  <c r="R76"/>
  <c r="P70"/>
  <c r="N76"/>
  <c r="P82"/>
  <c r="P66"/>
  <c r="S77"/>
  <c r="N66"/>
  <c r="N78"/>
  <c r="R78"/>
  <c r="Q77"/>
  <c r="P77"/>
  <c r="O84"/>
  <c r="P78"/>
  <c r="O80"/>
  <c r="Q80"/>
  <c r="N77"/>
  <c r="R80"/>
  <c r="S80"/>
  <c r="O77"/>
  <c r="P80"/>
  <c r="N74"/>
  <c r="Q84"/>
  <c r="Q70"/>
  <c r="R69"/>
  <c r="R79"/>
  <c r="R82"/>
  <c r="R74"/>
  <c r="R66"/>
  <c r="Q74"/>
  <c r="O74"/>
  <c r="O66"/>
  <c r="P69"/>
  <c r="P83"/>
  <c r="O67"/>
  <c r="P79"/>
  <c r="S74"/>
  <c r="N69"/>
  <c r="R75"/>
  <c r="N70"/>
  <c r="N75"/>
  <c r="S82"/>
  <c r="N67"/>
  <c r="N84"/>
  <c r="S70"/>
  <c r="Q82"/>
  <c r="P84"/>
  <c r="O78"/>
  <c r="P75"/>
  <c r="O82"/>
  <c r="O79"/>
  <c r="R84"/>
  <c r="S78"/>
  <c r="R62"/>
  <c r="Q75"/>
  <c r="Q62"/>
  <c r="T89"/>
  <c r="S83"/>
  <c r="Q76"/>
  <c r="C21" i="2"/>
  <c r="G21"/>
  <c r="I21"/>
  <c r="Q83" i="33"/>
  <c r="Q81"/>
  <c r="N81"/>
  <c r="S67"/>
  <c r="R67"/>
  <c r="R81"/>
  <c r="R83"/>
  <c r="S81"/>
  <c r="O83"/>
  <c r="P76"/>
  <c r="O81"/>
  <c r="V38"/>
  <c r="T60"/>
  <c r="O62"/>
  <c r="P62"/>
  <c r="N62"/>
  <c r="T61"/>
  <c r="S62"/>
  <c r="T59"/>
  <c r="T71" l="1"/>
  <c r="V39"/>
  <c r="T72"/>
  <c r="K21" i="2"/>
  <c r="K33" s="1"/>
  <c r="T73" i="33"/>
  <c r="T78"/>
  <c r="T77"/>
  <c r="T80"/>
  <c r="T82"/>
  <c r="T69"/>
  <c r="T79"/>
  <c r="T66"/>
  <c r="T75"/>
  <c r="T74"/>
  <c r="T84"/>
  <c r="T76"/>
  <c r="T83"/>
  <c r="T70"/>
  <c r="E33" i="2"/>
  <c r="T67" i="33"/>
  <c r="G33" i="2"/>
  <c r="P53" i="33"/>
  <c r="I33" i="2"/>
  <c r="C33"/>
  <c r="T62" i="33"/>
  <c r="T81"/>
  <c r="P56" l="1"/>
  <c r="T55"/>
  <c r="K85"/>
  <c r="K86" s="1"/>
  <c r="Q68"/>
  <c r="Q85" s="1"/>
  <c r="Q86" s="1"/>
  <c r="Q88" s="1"/>
  <c r="Q90" s="1"/>
  <c r="O53"/>
  <c r="V12" l="1"/>
  <c r="V28"/>
  <c r="V7"/>
  <c r="T53"/>
  <c r="T56" s="1"/>
  <c r="V23"/>
  <c r="V13"/>
  <c r="V16"/>
  <c r="V11"/>
  <c r="V20"/>
  <c r="V25"/>
  <c r="V15"/>
  <c r="V30"/>
  <c r="V17"/>
  <c r="V21"/>
  <c r="V26"/>
  <c r="V9"/>
  <c r="V8"/>
  <c r="V19"/>
  <c r="V22"/>
  <c r="Q96"/>
  <c r="Q92"/>
  <c r="P68"/>
  <c r="P85" s="1"/>
  <c r="P86" s="1"/>
  <c r="P88" s="1"/>
  <c r="P90" s="1"/>
  <c r="O68"/>
  <c r="O85" s="1"/>
  <c r="O86" s="1"/>
  <c r="O88" s="1"/>
  <c r="O90" s="1"/>
  <c r="J85"/>
  <c r="O56"/>
  <c r="T54"/>
  <c r="N53"/>
  <c r="S68"/>
  <c r="S85" s="1"/>
  <c r="S86" s="1"/>
  <c r="S88" s="1"/>
  <c r="S90" s="1"/>
  <c r="S96" s="1"/>
  <c r="V29"/>
  <c r="V10"/>
  <c r="V27"/>
  <c r="V18"/>
  <c r="V24"/>
  <c r="V14"/>
  <c r="N68"/>
  <c r="R68"/>
  <c r="R85" s="1"/>
  <c r="R86" s="1"/>
  <c r="R88" s="1"/>
  <c r="R90" s="1"/>
  <c r="N56" l="1"/>
  <c r="V31"/>
  <c r="S92"/>
  <c r="O92"/>
  <c r="O96"/>
  <c r="T94"/>
  <c r="T68"/>
  <c r="N85"/>
  <c r="N86" s="1"/>
  <c r="R92"/>
  <c r="R96"/>
  <c r="P96"/>
  <c r="P92"/>
  <c r="T95"/>
  <c r="N88" l="1"/>
  <c r="N90" s="1"/>
  <c r="T85"/>
  <c r="N96" l="1"/>
  <c r="N92"/>
  <c r="T93"/>
  <c r="T86"/>
  <c r="T88" s="1"/>
  <c r="X7" s="1"/>
  <c r="X88" l="1"/>
  <c r="X41"/>
  <c r="X85"/>
  <c r="X26"/>
  <c r="X43"/>
  <c r="X84"/>
  <c r="X74"/>
  <c r="T90"/>
  <c r="T96" s="1"/>
  <c r="X18"/>
  <c r="X8"/>
  <c r="X46"/>
  <c r="X12"/>
  <c r="X29"/>
  <c r="X71"/>
  <c r="X47"/>
  <c r="X66"/>
  <c r="X15"/>
  <c r="X50"/>
  <c r="X44"/>
  <c r="X77"/>
  <c r="X69"/>
  <c r="X48"/>
  <c r="X81"/>
  <c r="X42"/>
  <c r="X21"/>
  <c r="X73"/>
  <c r="X19"/>
  <c r="X22"/>
  <c r="X72"/>
  <c r="X11"/>
  <c r="X49"/>
  <c r="X59"/>
  <c r="X45"/>
  <c r="X23"/>
  <c r="X25"/>
  <c r="X14"/>
  <c r="X80"/>
  <c r="X78"/>
  <c r="X9"/>
  <c r="X82"/>
  <c r="X17"/>
  <c r="X75"/>
  <c r="X24"/>
  <c r="X60"/>
  <c r="X16"/>
  <c r="X13"/>
  <c r="X70"/>
  <c r="X20"/>
  <c r="X83"/>
  <c r="X67"/>
  <c r="X30"/>
  <c r="X27"/>
  <c r="X10"/>
  <c r="X51"/>
  <c r="X76"/>
  <c r="X79"/>
  <c r="X61"/>
  <c r="X28"/>
  <c r="X68"/>
  <c r="X52" l="1"/>
  <c r="T92"/>
  <c r="X31"/>
  <c r="X62"/>
  <c r="X89" l="1"/>
</calcChain>
</file>

<file path=xl/comments1.xml><?xml version="1.0" encoding="utf-8"?>
<comments xmlns="http://schemas.openxmlformats.org/spreadsheetml/2006/main">
  <authors>
    <author>for Home Used Only</author>
    <author>fon</author>
    <author>Author</author>
    <author>Sopida</author>
    <author>user</author>
    <author>USER</author>
  </authors>
  <commentList>
    <comment ref="A9" authorId="0">
      <text>
        <r>
          <rPr>
            <b/>
            <sz val="8"/>
            <color indexed="81"/>
            <rFont val="Tahoma"/>
            <family val="2"/>
          </rPr>
          <t>for Home Used Only:</t>
        </r>
        <r>
          <rPr>
            <sz val="8"/>
            <color indexed="81"/>
            <rFont val="Tahoma"/>
            <family val="2"/>
          </rPr>
          <t xml:space="preserve">
ประกันสังคม ปี 2555
ม.ค. - มิ.ย. 3%
ก.ค. - ธ.ค. 4%</t>
        </r>
      </text>
    </comment>
    <comment ref="N10" authorId="0">
      <text>
        <r>
          <rPr>
            <b/>
            <sz val="8"/>
            <color indexed="81"/>
            <rFont val="Tahoma"/>
            <family val="2"/>
          </rPr>
          <t>for Home Used Only:</t>
        </r>
        <r>
          <rPr>
            <sz val="8"/>
            <color indexed="81"/>
            <rFont val="Tahoma"/>
            <family val="2"/>
          </rPr>
          <t xml:space="preserve">
ค่าใช้จ่ายสุทธิ + ข้อ 1.5
</t>
        </r>
      </text>
    </comment>
    <comment ref="O10" authorId="0">
      <text>
        <r>
          <rPr>
            <b/>
            <sz val="8"/>
            <color indexed="81"/>
            <rFont val="Tahoma"/>
            <family val="2"/>
          </rPr>
          <t>for Home Used Only:</t>
        </r>
        <r>
          <rPr>
            <sz val="8"/>
            <color indexed="81"/>
            <rFont val="Tahoma"/>
            <family val="2"/>
          </rPr>
          <t xml:space="preserve">
ค่าใช้จ่ายสุทธิ + ข้อ 1.5
</t>
        </r>
      </text>
    </comment>
    <comment ref="P10" authorId="0">
      <text>
        <r>
          <rPr>
            <b/>
            <sz val="8"/>
            <color indexed="81"/>
            <rFont val="Tahoma"/>
            <family val="2"/>
          </rPr>
          <t>Kunnawut:
ค่าใช้จ่ายสุทธิ + ข้อ 1.5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1" authorId="1">
      <text>
        <r>
          <rPr>
            <b/>
            <sz val="8"/>
            <color indexed="81"/>
            <rFont val="Tahoma"/>
            <family val="2"/>
          </rPr>
          <t>fon:</t>
        </r>
        <r>
          <rPr>
            <sz val="8"/>
            <color indexed="81"/>
            <rFont val="Tahoma"/>
            <family val="2"/>
          </rPr>
          <t xml:space="preserve">
ประกันสังคม 5 %
</t>
        </r>
      </text>
    </comment>
    <comment ref="O11" authorId="1">
      <text>
        <r>
          <rPr>
            <b/>
            <sz val="8"/>
            <color indexed="81"/>
            <rFont val="Tahoma"/>
            <family val="2"/>
          </rPr>
          <t>fon:</t>
        </r>
        <r>
          <rPr>
            <sz val="8"/>
            <color indexed="81"/>
            <rFont val="Tahoma"/>
            <family val="2"/>
          </rPr>
          <t xml:space="preserve">
ประกันสังคม 5 %
</t>
        </r>
      </text>
    </comment>
    <comment ref="P11" authorId="1">
      <text>
        <r>
          <rPr>
            <b/>
            <sz val="8"/>
            <color indexed="81"/>
            <rFont val="Tahoma"/>
            <family val="2"/>
          </rPr>
          <t>fon:</t>
        </r>
        <r>
          <rPr>
            <sz val="8"/>
            <color indexed="81"/>
            <rFont val="Tahoma"/>
            <family val="2"/>
          </rPr>
          <t xml:space="preserve">
ประกันสังคม 5 %
</t>
        </r>
      </text>
    </comment>
    <comment ref="N13" authorId="2">
      <text>
        <r>
          <rPr>
            <b/>
            <sz val="8"/>
            <color indexed="81"/>
            <rFont val="Tahoma"/>
            <family val="2"/>
          </rPr>
          <t>Kunnawut:</t>
        </r>
        <r>
          <rPr>
            <sz val="8"/>
            <color indexed="81"/>
            <rFont val="Tahoma"/>
            <family val="2"/>
          </rPr>
          <t xml:space="preserve">
คูปองPSL เดือน9/58               800.00บาท 
ค่าอาหาร ตรีเพชรเซล+บริการ  22,900.00บาท
ค่าอาหาร ตรีเพชรสาย5           4,500.00บาท
</t>
        </r>
      </text>
    </comment>
    <comment ref="O13" authorId="2">
      <text>
        <r>
          <rPr>
            <b/>
            <sz val="8"/>
            <color indexed="81"/>
            <rFont val="Tahoma"/>
            <family val="2"/>
          </rPr>
          <t>Kunnawut:</t>
        </r>
        <r>
          <rPr>
            <sz val="8"/>
            <color indexed="81"/>
            <rFont val="Tahoma"/>
            <family val="2"/>
          </rPr>
          <t xml:space="preserve">
Ethosชุดฟอร์ม 0.00บาท</t>
        </r>
      </text>
    </comment>
    <comment ref="N14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ค่าจ้าง Part-Time
- แทนงาน RBS 1วัน(พักร้อน11/9/58) 500บาท
- แทนงาน SCGEx 1วัน(ลากิจ18/9/58) 500บาท</t>
        </r>
      </text>
    </comment>
    <comment ref="N15" authorId="4">
      <text>
        <r>
          <rPr>
            <sz val="8"/>
            <color indexed="81"/>
            <rFont val="Tahoma"/>
            <family val="2"/>
          </rPr>
          <t xml:space="preserve">ปัณฑ์ณัฐฐา 1,355+896=2,251บาท
วินัย         238+308+498+239=1,283บาท
ปณตพร    432+376+378+358+445=1,989บาท
ทิพย์รัตน์  526+308+367+1,064=2,265บาท
</t>
        </r>
      </text>
    </comment>
    <comment ref="O15" authorId="5">
      <text>
        <r>
          <rPr>
            <sz val="8"/>
            <color indexed="81"/>
            <rFont val="Tahoma"/>
            <family val="2"/>
          </rPr>
          <t>ค่าน้ำมัน ษค387;
3/9/58 =500
11/9/58 =1,000
21/9/58 =500
24/9/58 =1,000
รวม=3,000บาท
ค่าทางด่วน-ไปงานทำบุญ BKKOffice 200บาท
ค่าเดินทาง-มี๋ 436บาท</t>
        </r>
      </text>
    </comment>
    <comment ref="P15" authorId="2">
      <text>
        <r>
          <rPr>
            <b/>
            <sz val="8"/>
            <color indexed="81"/>
            <rFont val="Tahoma"/>
            <family val="2"/>
          </rPr>
          <t>Kunnawut:</t>
        </r>
        <r>
          <rPr>
            <sz val="8"/>
            <color indexed="81"/>
            <rFont val="Tahoma"/>
            <family val="2"/>
          </rPr>
          <t xml:space="preserve">
Kโบ  533.83บาท
Kวุฒิ 170.00บาท
</t>
        </r>
      </text>
    </comment>
    <comment ref="N20" authorId="4">
      <text>
        <r>
          <rPr>
            <sz val="8"/>
            <color indexed="81"/>
            <rFont val="Tahoma"/>
            <family val="2"/>
          </rPr>
          <t>ค่านามบัตร              0.00บาท
ค่าทำบัตรพนักงาน    0.00บาท</t>
        </r>
      </text>
    </comment>
    <comment ref="O20" authorId="4">
      <text>
        <r>
          <rPr>
            <sz val="8"/>
            <color indexed="81"/>
            <rFont val="Tahoma"/>
            <family val="2"/>
          </rPr>
          <t>ค่าเครื่องเขียน       664.00บาท
ค่าทำบัตรพนักงาน    0.00บาท</t>
        </r>
      </text>
    </comment>
    <comment ref="P20" authorId="4">
      <text>
        <r>
          <rPr>
            <sz val="8"/>
            <color indexed="81"/>
            <rFont val="Tahoma"/>
            <family val="2"/>
          </rPr>
          <t>ค่าวัสดุสำนักงาน   387.00บาท
ค่าป้ายชื่อตั้งโต๊ะ     66.00บาท
ค่าอุปกรณ์สำนักงาน    655.00บาท</t>
        </r>
      </text>
    </comment>
    <comment ref="N22" authorId="4">
      <text>
        <r>
          <rPr>
            <sz val="8"/>
            <color indexed="81"/>
            <rFont val="Tahoma"/>
            <family val="2"/>
          </rPr>
          <t>เงินจูงใจ-งานตรีเพชรเซลส์          0.00บาท</t>
        </r>
      </text>
    </comment>
    <comment ref="N25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ค่าเลี้ยงรับรอง -บางจาก(คุณนพชัย)   5,255.-บาท
ค่าของเยี่ยม -ฮอนด้า(คุณเกสร/คลอดบุตร) 361บาท</t>
        </r>
      </text>
    </comment>
    <comment ref="P25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ค่าเลี้ยงรับรอง E&amp;H,Nitto 794.00บาท
(แนท ไปsurvey)</t>
        </r>
      </text>
    </comment>
    <comment ref="O28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ค่าของใช้สำนักงาน 292บาท</t>
        </r>
      </text>
    </comment>
    <comment ref="P28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ค่าซ่อมเครื่องสแกนนิ้ว E&amp;H 963บาท</t>
        </r>
      </text>
    </comment>
    <comment ref="J30" authorId="1">
      <text>
        <r>
          <rPr>
            <b/>
            <sz val="8"/>
            <color indexed="81"/>
            <rFont val="Tahoma"/>
            <family val="2"/>
          </rPr>
          <t>fon:</t>
        </r>
        <r>
          <rPr>
            <sz val="8"/>
            <color indexed="81"/>
            <rFont val="Tahoma"/>
            <family val="2"/>
          </rPr>
          <t xml:space="preserve">
ค่าธรรมเนียม แฟกเตอริ่ง
ใช้เดือน ก่อนหน้า
เช่น ค่าธรรมเนียม ม.ค.
      ลง P&amp;L ประจำเดือน ก.พ.</t>
        </r>
      </text>
    </comment>
    <comment ref="R36" authorId="5">
      <text>
        <r>
          <rPr>
            <b/>
            <sz val="8"/>
            <color indexed="81"/>
            <rFont val="Tahoma"/>
            <family val="2"/>
          </rPr>
          <t>Kunnawut:</t>
        </r>
        <r>
          <rPr>
            <sz val="8"/>
            <color indexed="81"/>
            <rFont val="Tahoma"/>
            <family val="2"/>
          </rPr>
          <t xml:space="preserve">
Payroll 87,495บาท
Acc 11,000บาท</t>
        </r>
      </text>
    </comment>
    <comment ref="O43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ค่าเดินทาง-แม็กITไปแบคอัพข้อมูลสาขาพัทยา
</t>
        </r>
      </text>
    </comment>
    <comment ref="P43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ค่าเดินทาง-แม็ก IT ไปแบคอัพข้อมูลสาขาชลบุรี
ค่าทางด่วน 155บาท</t>
        </r>
      </text>
    </comment>
    <comment ref="O46" authorId="5">
      <text>
        <r>
          <rPr>
            <sz val="8"/>
            <color indexed="81"/>
            <rFont val="Tahoma"/>
            <family val="2"/>
          </rPr>
          <t xml:space="preserve">ค่าเช่าสำนักงาน  8,750.00บาท
ค่าส่วนกลาง  1,401.87บาท
</t>
        </r>
      </text>
    </comment>
    <comment ref="P46" authorId="4">
      <text>
        <r>
          <rPr>
            <sz val="8"/>
            <color indexed="81"/>
            <rFont val="Tahoma"/>
            <family val="2"/>
          </rPr>
          <t xml:space="preserve">ค่าเช่าสำนักงาน     7,680.00บาท
ค่าส่วนกลาง         1,600.00บาท
</t>
        </r>
      </text>
    </comment>
    <comment ref="O47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ค่าไฟฟ้า 2,613.08บาท</t>
        </r>
      </text>
    </comment>
    <comment ref="P47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ค่าไฟฟ้า 2,485.-บาท</t>
        </r>
      </text>
    </comment>
    <comment ref="O48" authorId="5">
      <text>
        <r>
          <rPr>
            <sz val="8"/>
            <color indexed="81"/>
            <rFont val="Tahoma"/>
            <family val="2"/>
          </rPr>
          <t>ค่าอินเทอร์เน็ต       699.-บาท
โทรศัพท์สำนักงาน 518.-บาท</t>
        </r>
      </text>
    </comment>
    <comment ref="P48" authorId="5">
      <text>
        <r>
          <rPr>
            <sz val="8"/>
            <color indexed="81"/>
            <rFont val="Tahoma"/>
            <family val="2"/>
          </rPr>
          <t xml:space="preserve">ค่าโทรศัพท์สำนักงาน 981.20บาท 
ค่าอินเทอร์เน็ต              0
AIS-0922796085         299.00บาท
**ค่าเน็ต+ค่าโทรAIS เปลี่ยนรอบบิล+มาจ่ายที่ BKKแทน
</t>
        </r>
      </text>
    </comment>
    <comment ref="O50" authorId="5">
      <text>
        <r>
          <rPr>
            <sz val="8"/>
            <color indexed="81"/>
            <rFont val="Tahoma"/>
            <family val="2"/>
          </rPr>
          <t xml:space="preserve">ค่าถ่ายเอกสาร                 1,500.00
เครื่องเขียน แบบพิมพ์        0.00 
วัสดุสิ้นเปลืองสำนักงาน     0.00 </t>
        </r>
      </text>
    </comment>
    <comment ref="P50" authorId="5">
      <text>
        <r>
          <rPr>
            <sz val="8"/>
            <color indexed="81"/>
            <rFont val="Tahoma"/>
            <family val="2"/>
          </rPr>
          <t xml:space="preserve">ค่าถ่ายเอกสาร        2,115.90บาท
วัสดุสิ้นเปลืองสำนักงาน  0.00บาท
ค่าเครื่องเขียน               0.00บาท
</t>
        </r>
      </text>
    </comment>
    <comment ref="K59" authorId="1">
      <text>
        <r>
          <rPr>
            <sz val="8"/>
            <color indexed="81"/>
            <rFont val="Tahoma"/>
            <family val="2"/>
          </rPr>
          <t>หักเงินเดือนส่วนกลาง 60,000
เป็นค่าเช่าสำนักงาน</t>
        </r>
      </text>
    </comment>
    <comment ref="K63" authorId="5">
      <text>
        <r>
          <rPr>
            <b/>
            <sz val="8"/>
            <color indexed="81"/>
            <rFont val="Tahoma"/>
            <family val="2"/>
          </rPr>
          <t>Kunnawut:</t>
        </r>
        <r>
          <rPr>
            <sz val="8"/>
            <color indexed="81"/>
            <rFont val="Tahoma"/>
            <family val="2"/>
          </rPr>
          <t xml:space="preserve">
เงินได้ทุกแผนกที่ลง-เงินเดือนHR(ช่องเงินเดือนรวมรายได้ทุกอย่าง) = 0</t>
        </r>
      </text>
    </comment>
    <comment ref="K69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Part Time งานบัญชี</t>
        </r>
      </text>
    </comment>
    <comment ref="K70" authorId="4">
      <text>
        <r>
          <rPr>
            <sz val="8"/>
            <color indexed="81"/>
            <rFont val="Tahoma"/>
            <family val="2"/>
          </rPr>
          <t>คุณไม้-สค.; ค่าน้ำมัน+ทางด่วน    6,485.-บาท
คุณอุ๊   845+833+918+1,059+800=4,455บาท
นภสกร     150.00(สรรพากร)
ปิยวัชร์     210.00(ไปประชุม14/9/58)
อื่นๆ-ค่า   0.00</t>
        </r>
      </text>
    </comment>
    <comment ref="K71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ไปตรีเพชรเซลส์                      200บาท
ไปสรรพากร(เสียภาษี)              100บาท
ไปHSBC(รับเช็ค)/BAY            300บาท
ไปAira/Satcom/BAY             480บาท
ไปIMIT/RBS/พานาเอพี        1,000บาท
ไปตรีเพชรบริการ                     200บาท
ไปScanIT/Calmsea/Unipres/BRC/TMB   700บาท
ไปKBANK/แอดวานซ์             600บาท
**คุณณัฐวุฒิ(หน่อง) ลาป่วย จึงต้องจ้าง PartTime Messenger หลายวัน</t>
        </r>
      </text>
    </comment>
    <comment ref="K72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ไปรษณีย์                          886บาท
ค่าที่จอดรถ/ค่าเรือ/+อื่นๆ    190บาท</t>
        </r>
      </text>
    </comment>
    <comment ref="K74" authorId="5">
      <text>
        <r>
          <rPr>
            <sz val="8"/>
            <color indexed="81"/>
            <rFont val="Tahoma"/>
            <family val="2"/>
          </rPr>
          <t>ค่าไฟฟ้า       11,732.70บาท 
ค่าน้ำประปา      228.-บาท</t>
        </r>
      </text>
    </comment>
    <comment ref="K75" authorId="4">
      <text>
        <r>
          <rPr>
            <sz val="8"/>
            <color indexed="81"/>
            <rFont val="Tahoma"/>
            <family val="2"/>
          </rPr>
          <t>ค่าถ่ายเอกสาร              2,034.55บาท
ค่าเครื่องเขียน-ผงหมึก Kyocera 2,907.-บาท
อื่นๆ                                0.00บาท</t>
        </r>
      </text>
    </comment>
    <comment ref="K76" authorId="5">
      <text>
        <r>
          <rPr>
            <sz val="8"/>
            <color indexed="81"/>
            <rFont val="Tahoma"/>
            <family val="2"/>
          </rPr>
          <t xml:space="preserve">ค่าโทรศัพท์มือถือ
AISพี่อุ๊                                1,487.00บาท
DTAC-ค่าโทรศัพท์มือถือ        1,675.-บาท 
RealMove-ค่าโทรศัพท์มือถือ   1,941.93บาท
ค่าโทรศัพท์สำนักงาน             1,892.-บาท
ค่าอินเตอร์เน็ท                         599.00บาท
</t>
        </r>
      </text>
    </comment>
    <comment ref="K77" authorId="4">
      <text>
        <r>
          <rPr>
            <sz val="8"/>
            <color indexed="81"/>
            <rFont val="Tahoma"/>
            <family val="2"/>
          </rPr>
          <t>น้ำดื่ม                            1,320.00บาท
อื่นๆ-กาแฟ,น้ำตาล ฯลฯ    1,320.56บาท</t>
        </r>
      </text>
    </comment>
    <comment ref="K78" authorId="5">
      <text>
        <r>
          <rPr>
            <sz val="8"/>
            <color indexed="81"/>
            <rFont val="Tahoma"/>
            <family val="2"/>
          </rPr>
          <t>ค่าถ่ายเอกสาร-(ค่าเช่าซื้อ)  2,900.00บาท</t>
        </r>
      </text>
    </comment>
    <comment ref="K79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1.ค่าโดเมนและHost www.bpit.co.th 26,200.-บาท
2.ค่าทำประตูม้วน/รีโมท BKKOffice 24,720.-บาท 
3.ค่าซ่อมหลังคา BKK Office 26,000.- บาท</t>
        </r>
      </text>
    </comment>
    <comment ref="K81" authorId="5">
      <text>
        <r>
          <rPr>
            <sz val="8"/>
            <color indexed="81"/>
            <rFont val="Tahoma"/>
            <family val="2"/>
          </rPr>
          <t>ค่าตู้แดง  2,000.00บาท
เบ็ดเตล็ด-ค่ายาสามัญ 338บาท
อื่นๆ-ค่ารับรอง AuditISO 509บาท</t>
        </r>
      </text>
    </comment>
    <comment ref="K82" authorId="3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1.ค่าทำบุญและOuting วัดไร่ขิง-วัดดอนหวาย 9,988บาท</t>
        </r>
      </text>
    </comment>
    <comment ref="K83" authorId="5">
      <text>
        <r>
          <rPr>
            <sz val="8"/>
            <color indexed="81"/>
            <rFont val="Tahoma"/>
            <family val="2"/>
          </rPr>
          <t xml:space="preserve">ค่าเช่าซื้อรถNissan   10,907.00บาท
ค่าเปลี่ยนน้ำมันเครื่อง 854.21บาท
ค่าล้างรถ 100บาท
</t>
        </r>
      </text>
    </comment>
    <comment ref="K84" authorId="5">
      <text>
        <r>
          <rPr>
            <sz val="8"/>
            <color indexed="81"/>
            <rFont val="Tahoma"/>
            <family val="2"/>
          </rPr>
          <t>เงินกู้ยืมกรรมการ  8,334.00</t>
        </r>
      </text>
    </comment>
  </commentList>
</comments>
</file>

<file path=xl/comments2.xml><?xml version="1.0" encoding="utf-8"?>
<comments xmlns="http://schemas.openxmlformats.org/spreadsheetml/2006/main">
  <authors>
    <author>Sopida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เก็บจากรายงานใบแจ้งหนี้ ประจำเดือน -หัก OptionA+รายการอื่นที่ไม่เกี่ยวข้อง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เก็บจากรายงานใบแจ้งหนี้ มิย.58 -หัก OptionA+รายการอื่นที่ไม่เกี่ยวข้อง</t>
        </r>
      </text>
    </comment>
  </commentList>
</comments>
</file>

<file path=xl/comments3.xml><?xml version="1.0" encoding="utf-8"?>
<comments xmlns="http://schemas.openxmlformats.org/spreadsheetml/2006/main">
  <authors>
    <author>Sopida</author>
  </authors>
  <commentList>
    <comment ref="K18" authorId="0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Update13-10-58
+รวมงานบางจาก(บางปะอิน)1คน</t>
        </r>
      </text>
    </comment>
  </commentList>
</comments>
</file>

<file path=xl/comments4.xml><?xml version="1.0" encoding="utf-8"?>
<comments xmlns="http://schemas.openxmlformats.org/spreadsheetml/2006/main">
  <authors>
    <author>DarkUser</author>
  </authors>
  <commentList>
    <comment ref="F12" authorId="0">
      <text>
        <r>
          <rPr>
            <b/>
            <sz val="8"/>
            <color indexed="81"/>
            <rFont val="Tahoma"/>
            <family val="2"/>
          </rPr>
          <t xml:space="preserve">นภสกร:
ขั้นต้ำ 
เหมา 15 คน=3,000.- บาท/เดือน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1" authorId="0">
      <text>
        <r>
          <rPr>
            <b/>
            <sz val="8"/>
            <color indexed="81"/>
            <rFont val="Tahoma"/>
            <family val="2"/>
          </rPr>
          <t xml:space="preserve">นภสกร:
ขั้นต้ำ 
เหมา 15 คน=3,000.- บาท/เดือน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DarkUser</author>
  </authors>
  <commentList>
    <comment ref="F8" authorId="0">
      <text>
        <r>
          <rPr>
            <b/>
            <sz val="8"/>
            <color indexed="81"/>
            <rFont val="Tahoma"/>
            <family val="2"/>
          </rPr>
          <t>โคเน่ เครน:</t>
        </r>
        <r>
          <rPr>
            <sz val="8"/>
            <color indexed="81"/>
            <rFont val="Tahoma"/>
            <family val="2"/>
          </rPr>
          <t xml:space="preserve">
มี Transfer 0 คน
ยอด=0,000.-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>นภสกร:</t>
        </r>
        <r>
          <rPr>
            <sz val="8"/>
            <color indexed="81"/>
            <rFont val="Tahoma"/>
            <family val="2"/>
          </rPr>
          <t xml:space="preserve">
มี Transfer 1 คน</t>
        </r>
      </text>
    </comment>
    <comment ref="F11" authorId="0">
      <text>
        <r>
          <rPr>
            <b/>
            <sz val="8"/>
            <color indexed="81"/>
            <rFont val="Tahoma"/>
            <family val="2"/>
          </rPr>
          <t>อีเลค Toba:</t>
        </r>
        <r>
          <rPr>
            <sz val="8"/>
            <color indexed="81"/>
            <rFont val="Tahoma"/>
            <family val="2"/>
          </rPr>
          <t xml:space="preserve">
มี Transfer 1 คน(FrontLoad)=9,000บาท</t>
        </r>
      </text>
    </comment>
    <comment ref="N11" authorId="0">
      <text>
        <r>
          <rPr>
            <b/>
            <sz val="8"/>
            <color indexed="81"/>
            <rFont val="Tahoma"/>
            <family val="2"/>
          </rPr>
          <t>นภสกร:
กย 57 มี Incentive ประมาณ=600,00.-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0">
      <text>
        <r>
          <rPr>
            <b/>
            <sz val="8"/>
            <color indexed="81"/>
            <rFont val="Tahoma"/>
            <family val="2"/>
          </rPr>
          <t>อีเลค Salsa:</t>
        </r>
        <r>
          <rPr>
            <sz val="8"/>
            <color indexed="81"/>
            <rFont val="Tahoma"/>
            <family val="2"/>
          </rPr>
          <t xml:space="preserve">
มี Transfer 0 คน</t>
        </r>
      </text>
    </comment>
    <comment ref="E15" authorId="0">
      <text>
        <r>
          <rPr>
            <b/>
            <sz val="8"/>
            <color indexed="81"/>
            <rFont val="Tahoma"/>
            <family val="2"/>
          </rPr>
          <t>นภสกร:</t>
        </r>
        <r>
          <rPr>
            <sz val="8"/>
            <color indexed="81"/>
            <rFont val="Tahoma"/>
            <family val="2"/>
          </rPr>
          <t xml:space="preserve">
ลำดับที่ 18
นางสาวประภาพร  ศิลปชัย</t>
        </r>
      </text>
    </comment>
    <comment ref="F15" authorId="0">
      <text>
        <r>
          <rPr>
            <b/>
            <sz val="8"/>
            <color indexed="81"/>
            <rFont val="Tahoma"/>
            <family val="2"/>
          </rPr>
          <t xml:space="preserve">นภสกร:  แอร์โค
แจ้งหนี้รวมกับกรุงเทพ=18 คน
BKK=17 คน
PTY=  1 คน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4" authorId="0">
      <text>
        <r>
          <rPr>
            <b/>
            <sz val="8"/>
            <color indexed="81"/>
            <rFont val="Tahoma"/>
            <family val="2"/>
          </rPr>
          <t xml:space="preserve">เอเวอร์รี่:
</t>
        </r>
        <r>
          <rPr>
            <sz val="8"/>
            <color indexed="81"/>
            <rFont val="Tahoma"/>
            <family val="2"/>
          </rPr>
          <t xml:space="preserve">BPIT-PTY07-003/58
</t>
        </r>
        <r>
          <rPr>
            <b/>
            <sz val="8"/>
            <color indexed="81"/>
            <rFont val="Tahoma"/>
            <family val="2"/>
          </rPr>
          <t>มี Transfer 1 คน
ยอด=9,000.-</t>
        </r>
      </text>
    </comment>
    <comment ref="G34" authorId="0">
      <text>
        <r>
          <rPr>
            <b/>
            <sz val="8"/>
            <color indexed="81"/>
            <rFont val="Tahoma"/>
            <family val="2"/>
          </rPr>
          <t>นภสกร:
เงินเดือน จ่ายของ งวด 16/06/15 ถึง 30/06/15
ค่าล่วงเวลา//ค่ากะ//เบี้ยขยัน//ค่าเช่าบ้าน/รายได้อื่นๆ งวด 16/06/58 ถึง 30/06/58</t>
        </r>
      </text>
    </comment>
    <comment ref="F35" authorId="0">
      <text>
        <r>
          <rPr>
            <b/>
            <sz val="8"/>
            <color indexed="81"/>
            <rFont val="Tahoma"/>
            <family val="2"/>
          </rPr>
          <t>โคเน่ เครน:</t>
        </r>
        <r>
          <rPr>
            <sz val="8"/>
            <color indexed="81"/>
            <rFont val="Tahoma"/>
            <family val="2"/>
          </rPr>
          <t xml:space="preserve">
มี Transfer 0 คน
ยอด=0,000.-</t>
        </r>
      </text>
    </comment>
    <comment ref="F36" authorId="0">
      <text>
        <r>
          <rPr>
            <b/>
            <sz val="8"/>
            <color indexed="81"/>
            <rFont val="Tahoma"/>
            <family val="2"/>
          </rPr>
          <t>นภสกร:</t>
        </r>
        <r>
          <rPr>
            <sz val="8"/>
            <color indexed="81"/>
            <rFont val="Tahoma"/>
            <family val="2"/>
          </rPr>
          <t xml:space="preserve">
มี Transfer 0 คน</t>
        </r>
      </text>
    </comment>
    <comment ref="F38" authorId="0">
      <text>
        <r>
          <rPr>
            <b/>
            <sz val="8"/>
            <color indexed="81"/>
            <rFont val="Tahoma"/>
            <family val="2"/>
          </rPr>
          <t>อีเลค Salsa:
08-005-58</t>
        </r>
        <r>
          <rPr>
            <sz val="8"/>
            <color indexed="81"/>
            <rFont val="Tahoma"/>
            <family val="2"/>
          </rPr>
          <t xml:space="preserve">
มี Transfer 0 คน</t>
        </r>
      </text>
    </comment>
    <comment ref="F39" authorId="0">
      <text>
        <r>
          <rPr>
            <b/>
            <sz val="8"/>
            <color indexed="81"/>
            <rFont val="Tahoma"/>
            <family val="2"/>
          </rPr>
          <t>อีเลค Salsa:
08-006-58</t>
        </r>
        <r>
          <rPr>
            <sz val="8"/>
            <color indexed="81"/>
            <rFont val="Tahoma"/>
            <family val="2"/>
          </rPr>
          <t xml:space="preserve">
มี Transfer 0 คน</t>
        </r>
      </text>
    </comment>
    <comment ref="F40" authorId="0">
      <text>
        <r>
          <rPr>
            <b/>
            <sz val="8"/>
            <color indexed="81"/>
            <rFont val="Tahoma"/>
            <family val="2"/>
          </rPr>
          <t>อีเลค Salsa:
08-007-58</t>
        </r>
        <r>
          <rPr>
            <sz val="8"/>
            <color indexed="81"/>
            <rFont val="Tahoma"/>
            <family val="2"/>
          </rPr>
          <t xml:space="preserve">
มี Transfer 0 คน</t>
        </r>
      </text>
    </comment>
    <comment ref="E42" authorId="0">
      <text>
        <r>
          <rPr>
            <b/>
            <sz val="8"/>
            <color indexed="81"/>
            <rFont val="Tahoma"/>
            <family val="2"/>
          </rPr>
          <t>นภสกร:</t>
        </r>
        <r>
          <rPr>
            <sz val="8"/>
            <color indexed="81"/>
            <rFont val="Tahoma"/>
            <family val="2"/>
          </rPr>
          <t xml:space="preserve">
ลำดับที่ 18
นางสาวประภาพร  ศิลปชัย</t>
        </r>
      </text>
    </comment>
    <comment ref="F42" authorId="0">
      <text>
        <r>
          <rPr>
            <b/>
            <sz val="8"/>
            <color indexed="81"/>
            <rFont val="Tahoma"/>
            <family val="2"/>
          </rPr>
          <t xml:space="preserve">นภสกร:  แอร์โค
แจ้งหนี้รวมกับกรุงเทพ=18 คน
BKK=17 คน
PTY=  1 คน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Sopida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Sopida:</t>
        </r>
        <r>
          <rPr>
            <sz val="9"/>
            <color indexed="81"/>
            <rFont val="Tahoma"/>
            <family val="2"/>
          </rPr>
          <t xml:space="preserve">
ใช้ช่องค่าจ้างสุทธิ</t>
        </r>
      </text>
    </comment>
  </commentList>
</comments>
</file>

<file path=xl/comments7.xml><?xml version="1.0" encoding="utf-8"?>
<comments xmlns="http://schemas.openxmlformats.org/spreadsheetml/2006/main">
  <authors>
    <author>DarkUser</author>
  </authors>
  <commentList>
    <comment ref="F10" authorId="0">
      <text>
        <r>
          <rPr>
            <b/>
            <sz val="8"/>
            <color indexed="81"/>
            <rFont val="Tahoma"/>
            <family val="2"/>
          </rPr>
          <t>DarkUser:</t>
        </r>
        <r>
          <rPr>
            <sz val="8"/>
            <color indexed="81"/>
            <rFont val="Tahoma"/>
            <family val="2"/>
          </rPr>
          <t xml:space="preserve">
19/2/58
เติมน้ำมัน 1000 บ.</t>
        </r>
      </text>
    </comment>
  </commentList>
</comments>
</file>

<file path=xl/sharedStrings.xml><?xml version="1.0" encoding="utf-8"?>
<sst xmlns="http://schemas.openxmlformats.org/spreadsheetml/2006/main" count="958" uniqueCount="532">
  <si>
    <t>กำไร (ขาดทุน) แยกเป็นหน่วยงาน</t>
  </si>
  <si>
    <t>ประจำเดือน</t>
  </si>
  <si>
    <t>(หน่วย : บาท)</t>
  </si>
  <si>
    <t>No</t>
  </si>
  <si>
    <t>ค่าใช้จ่าย</t>
  </si>
  <si>
    <t>ส่วนกลาง</t>
  </si>
  <si>
    <t>Outsource</t>
  </si>
  <si>
    <t>รวม</t>
  </si>
  <si>
    <t xml:space="preserve">% คชจ. ต่อ </t>
  </si>
  <si>
    <t>% คชจ. ต่อ</t>
  </si>
  <si>
    <t>BKK</t>
  </si>
  <si>
    <t>PTY</t>
  </si>
  <si>
    <t>Training</t>
  </si>
  <si>
    <t>ทั้งบริษัท</t>
  </si>
  <si>
    <t>ต้นทุนฝ่าย</t>
  </si>
  <si>
    <t>ต้นทุนรวม</t>
  </si>
  <si>
    <t>1 ค่าใช้จ่ายทางตรงของฝ่ายนั้นๆ</t>
  </si>
  <si>
    <t>XX</t>
  </si>
  <si>
    <t>สวัสดิการพนักงาน Office</t>
  </si>
  <si>
    <t>เงินสมทบกองทุนทดแทน</t>
  </si>
  <si>
    <t>ค่าเครื่องแบบ+ตรวจร่างกาย พ.Outsource / อื่นๆ</t>
  </si>
  <si>
    <t>ค่าจ้าง Part-time</t>
  </si>
  <si>
    <t>ค่าเบี้ยประกันอุบัติเหตุกลุ่ม</t>
  </si>
  <si>
    <t>ค่าเครื่องเขียน-แบบพิมพ์และอุปกรณ์</t>
  </si>
  <si>
    <t>ค่าใช้จ่ายลงทุน/ทรัพย์สิน (ทำบัญชีทรัพย์สินด้วย)</t>
  </si>
  <si>
    <t>ค่าวิทยากร/อาจารย์</t>
  </si>
  <si>
    <t>ค่าของขวัญ / ของฝากลูกค้า</t>
  </si>
  <si>
    <t>ค่าโฆษณา</t>
  </si>
  <si>
    <t xml:space="preserve">Refund </t>
  </si>
  <si>
    <t xml:space="preserve">ค่าใช้จ่ายเบ็ดเตล็ด - อื่นๆ </t>
  </si>
  <si>
    <t>ค่าธรรมเนียม/OD</t>
  </si>
  <si>
    <t>รวมค่าใช้จ่ายทางตรง</t>
  </si>
  <si>
    <t>รายได้-งาน Recruit</t>
  </si>
  <si>
    <t>รายได้-งาน Training</t>
  </si>
  <si>
    <t>รายได้-งาน Payroll</t>
  </si>
  <si>
    <t>รวมรายได้ (แจ้งหนี้ในเดือนนั้น)</t>
  </si>
  <si>
    <t>เงินเดือนส่วนกลาง</t>
  </si>
  <si>
    <t>สวัสดิการพนักงานส่วนกลาง</t>
  </si>
  <si>
    <t>ค่าเดินทาง</t>
  </si>
  <si>
    <t>ค่าพนักงานส่งเอกสาร</t>
  </si>
  <si>
    <t>ค่าไปรษณีย์+สแตมป์</t>
  </si>
  <si>
    <t>ค่าเช่าสำนักงาน</t>
  </si>
  <si>
    <t>ค่าน้ำ-ไฟฟ้า</t>
  </si>
  <si>
    <t>ค่าเครื่องเขียน-อุปกรณ์</t>
  </si>
  <si>
    <t>ค่าโทรศัพท์+แฟกซ์+อินเตอร์เนต</t>
  </si>
  <si>
    <t>2.10</t>
  </si>
  <si>
    <t>ค่าใช้จ่ายเบ็ดเตล็ด-อื่นๆ</t>
  </si>
  <si>
    <t>(A)</t>
  </si>
  <si>
    <t>กำไร (ขาดทุน) ขั้นต้น</t>
  </si>
  <si>
    <t>**กำไร (ขาดทุน) ขั้นต้นของฝ่ายงานในพัทยาคิดค่าใช้จ่ายส่วนกลางของพัทยาเข้าไปรวมด้วยแล้ว</t>
  </si>
  <si>
    <t>กำไร (ขาดทุน) ขั้นต้นของสาขาพัทยา</t>
  </si>
  <si>
    <t>3. ค่าใช้จ่ายส่วนกลาง BKK และปันให้ฝ่ายต่างๆ</t>
  </si>
  <si>
    <t>ค่าจ้าง Part-time / นักศึกษาฝึกงาน</t>
  </si>
  <si>
    <t>3.10</t>
  </si>
  <si>
    <t>ค่าเช่าสำนักงานและอุปกรณ์</t>
  </si>
  <si>
    <t>ค่าเครื่องดื่มในสำนักงาน</t>
  </si>
  <si>
    <t>ค่าใช้จ่ายในการย้ายสำนักงาน / สัมมนาบริษัท</t>
  </si>
  <si>
    <t>3.20</t>
  </si>
  <si>
    <t>ค่าธรรมเนียม</t>
  </si>
  <si>
    <t>รวมค่าใช้จ่ายส่วนกลาง BKK</t>
  </si>
  <si>
    <t>รวมค่าใช้จ่ายเฉพาะที่ปันจากส่วนกลาง (กรุงเทพ+พัทยา)</t>
  </si>
  <si>
    <t>รวมค่าใช้จ่ายทั้งหมด</t>
  </si>
  <si>
    <t>รวมรายได้</t>
  </si>
  <si>
    <t>(B)</t>
  </si>
  <si>
    <t>กำไร (ขาดทุน) จริง</t>
  </si>
  <si>
    <t>กำไร(ขาดทุน) กรุงเทพ</t>
  </si>
  <si>
    <t>กำไร(ขาดทุน) พัทยา</t>
  </si>
  <si>
    <t>หมายเหตุ :</t>
  </si>
  <si>
    <t xml:space="preserve">1. รายได้และค่าใช้จ่าย </t>
  </si>
  <si>
    <t xml:space="preserve">    - ค่าใช้จ่าย แสดงจากจำนวนเงินที่จ่ายจริงในเดือนนั้น ๆ</t>
  </si>
  <si>
    <t>2. ปันส่วนค่าใช้จ่าย-ส่วนกลาง</t>
  </si>
  <si>
    <t xml:space="preserve">    BKK-Outsource 50% ทั้งสองสาขาและตามสัดส่วนพนักงานในเดือนนั้น </t>
  </si>
  <si>
    <t xml:space="preserve">    BKK-Recruit, Training&amp;Payroll  50% ทั้งสองสาขาและตามสัดส่วนพนักงานในเดือนนั้น </t>
  </si>
  <si>
    <t xml:space="preserve">BKK-Office         </t>
  </si>
  <si>
    <t>081-5108853</t>
  </si>
  <si>
    <t>086-3783395</t>
  </si>
  <si>
    <t>086-3783396</t>
  </si>
  <si>
    <t>089-7803510</t>
  </si>
  <si>
    <t>086-3126915</t>
  </si>
  <si>
    <t xml:space="preserve">                                    </t>
  </si>
  <si>
    <t>086-3783394</t>
  </si>
  <si>
    <t>Chon</t>
  </si>
  <si>
    <t>บาท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</si>
  <si>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</si>
  <si>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</si>
  <si>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</si>
  <si>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</si>
  <si>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</si>
  <si>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</si>
  <si>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</si>
  <si>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จำนวนพนักงาน-Outsource ที่ลูกค้าจ่ายเกินเดือน (คน)</t>
  </si>
  <si>
    <t>BKK-A</t>
  </si>
  <si>
    <t>BKK-B</t>
  </si>
  <si>
    <t>Total</t>
  </si>
  <si>
    <t>คน</t>
  </si>
  <si>
    <t>Center</t>
  </si>
  <si>
    <t>กำไร (ขาดทุน) ขั้นต้นของสาขาชลบุรี</t>
  </si>
  <si>
    <t>กำไร(ขาดทุน) ชลบุรี</t>
  </si>
  <si>
    <t>มกราคม</t>
  </si>
  <si>
    <t>กุมภาพันธ์</t>
  </si>
  <si>
    <t>มีนาคม</t>
  </si>
  <si>
    <t>เมษายน</t>
  </si>
  <si>
    <t>พฤษภาคม</t>
  </si>
  <si>
    <t>3.1 ค่าใช้จ่ายส่วนกลาง (เฉลี่ยตามจำนวนพนักงานทั้งหมด)</t>
  </si>
  <si>
    <t xml:space="preserve">3.2 ค่าใช้จ่ายส่วนกลาง </t>
  </si>
  <si>
    <t>Operation</t>
  </si>
  <si>
    <t>(เงินเดือน+ปกส+Part time)/รายได้</t>
  </si>
  <si>
    <t>รายได้-(เงินเดือน+ปกส+Part time) / รายได้</t>
  </si>
  <si>
    <t>ตุ้นทุนพนักงานเทียบกับรายได้(ไม่รวมโอน,สรรหา)</t>
  </si>
  <si>
    <t>กำไรจากการจัดส่งพนักงานเทียบกับรายได้(ไม่รวมโอน,สรรหา)</t>
  </si>
  <si>
    <t>กำไรขั้นต้น/รายได้รวม</t>
  </si>
  <si>
    <t>กำไรสุทธิ/รายได้รวม</t>
  </si>
  <si>
    <t>*ค่าใช้จ่ายส่วนกลางที่แบ่งให้สาขา</t>
  </si>
  <si>
    <t>(C)</t>
  </si>
  <si>
    <t>ภาษีฯ หัก ณ ที่จ่าย  3%</t>
  </si>
  <si>
    <t>(D)</t>
  </si>
  <si>
    <t>Cash Flow</t>
  </si>
  <si>
    <t>จำนวนพนักงานในเดือน (คน)</t>
  </si>
  <si>
    <t>Payroll</t>
  </si>
  <si>
    <t>089-7803020</t>
  </si>
  <si>
    <t>ค่าบริการส่วนกลาง-ค่าไฟฟ้า-ค่าน้ำประปา</t>
  </si>
  <si>
    <t>กี้</t>
  </si>
  <si>
    <t>พี่ไม้</t>
  </si>
  <si>
    <t>พี่อุ๊</t>
  </si>
  <si>
    <t xml:space="preserve">ค่าอุปกรณ์ / เครื่องดื่ม </t>
  </si>
  <si>
    <t xml:space="preserve">2. ค่าใช้จ่ายส่วนกลาง พัทยา ชลบุรี และปันให้ฝ่ายต่างๆ ในพัทยา ชลบุรี </t>
  </si>
  <si>
    <t xml:space="preserve">    - รายได้ แสดงจำนวนเงินจากที่วางบิลทั้งหมดในประจำเดือนนั้น ๆ (ยอดก่อน VAT 7%)</t>
  </si>
  <si>
    <t>ข้อมูลจากพี่อุ๊</t>
  </si>
  <si>
    <t xml:space="preserve">เงินเดือนพนักงานใน Office </t>
  </si>
  <si>
    <t>FACTORING</t>
  </si>
  <si>
    <t>3. ปันส่วนค่าธรรมเนียม / OD</t>
  </si>
  <si>
    <t xml:space="preserve">    - ปันให้เฉพาะฝ่าย Outsource 4 ฝ่าย เท่านั้น</t>
  </si>
  <si>
    <t xml:space="preserve">    - วิธี คือ ปันตามสัดส่วนจำนวนพนง. Outsource ที่แต่ละฝ่ายมี</t>
  </si>
  <si>
    <t>4. โทรศัพท์มือถือแยกฝ่าย</t>
  </si>
  <si>
    <t>(ดูจากการจ่ายเงินเดือน นับจากทำงาน15วันขี้น)</t>
  </si>
  <si>
    <t>ค่าธรรมเนียม/ดอกเบี้ย</t>
  </si>
  <si>
    <t>แยก Myjob ออกจาก ส่วนกลาง</t>
  </si>
  <si>
    <t>Myjob</t>
  </si>
  <si>
    <t>เดือน</t>
  </si>
  <si>
    <t>จ่ายเงินเดือน</t>
  </si>
  <si>
    <t>ค่าเช่าอุปกรณ์สำนักงาน</t>
  </si>
  <si>
    <t>ค่าใช้จ่ายเกี่ยวกับบำรุงรักษารถยนต์ส่วนกลาง</t>
  </si>
  <si>
    <t>โม</t>
  </si>
  <si>
    <t>เนย์ (บช)</t>
  </si>
  <si>
    <t>ค่าใช้จ่ายในการซ่อมแซมอุปกรณ์สำนักงาน</t>
  </si>
  <si>
    <t>ค่าใช้จ่ายในส่วนที่เอารถบริษัทฯ ไปใช้ในฝ่ายหารายได้</t>
  </si>
  <si>
    <t>โคราช</t>
  </si>
  <si>
    <t>เทรด</t>
  </si>
  <si>
    <t>รายได้-งาน อื่นๆ-รายได้ No-Vat</t>
  </si>
  <si>
    <t>ค่าสินค้า ซื้อมา -ขายไป -มี-Vat</t>
  </si>
  <si>
    <t>ค่าสินค้า ซื้อมา -ขายไป -No-Vat</t>
  </si>
  <si>
    <t>ค่าขนส่งสินค้า</t>
  </si>
  <si>
    <t>ค่าน้ำมันพนักงานขาย</t>
  </si>
  <si>
    <t>ค่าเดินทาง/ที่พัก/ค่าน้ำมัน</t>
  </si>
  <si>
    <t>ค่าเช่ารถในการขาย</t>
  </si>
  <si>
    <t>ค่าเครื่องเขียน-อุปกรณ์+ของใช้สำนักงาน</t>
  </si>
  <si>
    <t>ค่าแนะนำอื่น ๆ</t>
  </si>
  <si>
    <t>ค่าใช้จ่ายรถส่วนกลาง</t>
  </si>
  <si>
    <t>ค่าไปรษณีย์+แสตมป์+ค่าจอดรถ</t>
  </si>
  <si>
    <t xml:space="preserve">ตารางบันทึก การเดินทาง โดย ใช้รถยนต์ ของบริษัท   </t>
  </si>
  <si>
    <t xml:space="preserve">ลำดับ </t>
  </si>
  <si>
    <t xml:space="preserve">วันที่ </t>
  </si>
  <si>
    <t>แผนก</t>
  </si>
  <si>
    <t xml:space="preserve">ผู้ใช้ </t>
  </si>
  <si>
    <t xml:space="preserve">เวลา </t>
  </si>
  <si>
    <t xml:space="preserve">สถานที่เดินทาง </t>
  </si>
  <si>
    <t xml:space="preserve">เลขไมล์เริ่มต้น </t>
  </si>
  <si>
    <t xml:space="preserve">เลขไมล์ถึงบริษัท </t>
  </si>
  <si>
    <t xml:space="preserve">ผู้บันทึกเลขไมล์ </t>
  </si>
  <si>
    <t xml:space="preserve">ระยะกม .ที่ใช้งาน </t>
  </si>
  <si>
    <t xml:space="preserve">วันที่เติมน้ำมัน :จำนวนเงินที่เติม </t>
  </si>
  <si>
    <t>ล้างรถ</t>
  </si>
  <si>
    <t>การซ่อม</t>
  </si>
  <si>
    <t>เมทินี</t>
  </si>
  <si>
    <t>Team-BKK</t>
  </si>
  <si>
    <t>เบิกค่าทางด่วน</t>
  </si>
  <si>
    <t xml:space="preserve"> </t>
  </si>
  <si>
    <t>ว/ด/ป</t>
  </si>
  <si>
    <t>รายชื่อผู้ที่เบิกเงิน</t>
  </si>
  <si>
    <t>รายการ</t>
  </si>
  <si>
    <t>จำนวนเงิน</t>
  </si>
  <si>
    <t>เบิกค่าน้ำมันรถ</t>
  </si>
  <si>
    <t>ค่าน้ำมันรถ</t>
  </si>
  <si>
    <t>เบิกค่าซ่อมบำรุง</t>
  </si>
  <si>
    <t>ระยะทางแต่ละแผนก</t>
  </si>
  <si>
    <t>ทีมBKK</t>
  </si>
  <si>
    <t>เดินทางไปพัทยา</t>
  </si>
  <si>
    <t>เดินทางไปชลบุรี</t>
  </si>
  <si>
    <t>รวมระยะทางทั้งหมด</t>
  </si>
  <si>
    <t>ค่าใช้จ่ายแต่ละทีม</t>
  </si>
  <si>
    <t>เฉลี่ยคชต่อ กม.</t>
  </si>
  <si>
    <t>รวมค่าใช้จ่ายทั้งสิ้น</t>
  </si>
  <si>
    <t>LOAN</t>
  </si>
  <si>
    <t>OD-BBL</t>
  </si>
  <si>
    <t>OD-KBANK</t>
  </si>
  <si>
    <t>CHON</t>
  </si>
  <si>
    <t>ค่าธรรมเนียมโอนเงินเดือนพนักงาน(ลงทางตรง)</t>
  </si>
  <si>
    <t>รวมค่าธรรมเนียม</t>
  </si>
  <si>
    <t>เงินเดือน พ.Outsource</t>
  </si>
  <si>
    <t>สวัสดิการ พ.Outsource</t>
  </si>
  <si>
    <t>การไฟฟ้าฝ่ายผลิตแห่งประเทศไทย</t>
  </si>
  <si>
    <t>บรรษัทประกันสินเชื่ออุตสาหกรรมขนาดย่อม</t>
  </si>
  <si>
    <t>ลูกค้า</t>
  </si>
  <si>
    <t>ประเภทรายได้</t>
  </si>
  <si>
    <t>Outsource ผลรวม</t>
  </si>
  <si>
    <t>Payroll ผลรวม</t>
  </si>
  <si>
    <t>โบนัส,คอมมิชชั่น และอื่นๆ</t>
  </si>
  <si>
    <t>นางโสภิดา  สุมงคล</t>
  </si>
  <si>
    <t>น.ส.สุธีรา  ชาญวลิชล</t>
  </si>
  <si>
    <t>น.ส.ภัทราพร  สุขคุ้ม</t>
  </si>
  <si>
    <t>นางอรอุบล  ภูครองทอง</t>
  </si>
  <si>
    <t>น.ส.พรชนก  กรอบจินดา</t>
  </si>
  <si>
    <t>นายนภสกร  ยืนยงทวีกร</t>
  </si>
  <si>
    <t>น.ส.เมทินี  ทับทิมไทย</t>
  </si>
  <si>
    <t>น.ส.ขณัฎฐา  พลเหตุ</t>
  </si>
  <si>
    <t>นาง เกศรินทร์  ชูเชื้อ</t>
  </si>
  <si>
    <t>จัดทำบัญชี</t>
  </si>
  <si>
    <t xml:space="preserve">                                 </t>
  </si>
  <si>
    <t>ค่าใช้จ่ายเกี่ยวกับรถยนต์ เช่นค่าประกัน ฯลฯ</t>
  </si>
  <si>
    <t>จัดทำบัญชี ผลรวม</t>
  </si>
  <si>
    <t>Pattaya</t>
  </si>
  <si>
    <t>Recruit</t>
  </si>
  <si>
    <t>Recruit ผลรวม</t>
  </si>
  <si>
    <t>นายคุณวุฑฒ์  พิธุพันธ์</t>
  </si>
  <si>
    <t>น.ส.นิดา  แซ่โค้ว</t>
  </si>
  <si>
    <t>รายได้-งาน -เทรด</t>
  </si>
  <si>
    <t>สาขาพัทยา</t>
  </si>
  <si>
    <t>ลำดับ</t>
  </si>
  <si>
    <t>รายละเอียดใบแจ้งหนี้</t>
  </si>
  <si>
    <t>จำนวน</t>
  </si>
  <si>
    <t>งวดบริการ</t>
  </si>
  <si>
    <t>ค่าบริการ</t>
  </si>
  <si>
    <t>วันที่</t>
  </si>
  <si>
    <t>วันที่ได้รับ</t>
  </si>
  <si>
    <t>ถูกหักณ.ที่จ่าย '3%</t>
  </si>
  <si>
    <t>จำนวนเงินที่ได้รับ</t>
  </si>
  <si>
    <t>เงื่อนไขการชำระเงิน</t>
  </si>
  <si>
    <t>เลขที่ใบกำกับภาษี</t>
  </si>
  <si>
    <t>เลขที่</t>
  </si>
  <si>
    <t>วันที่ออก</t>
  </si>
  <si>
    <t>ชื่อลูกค้า</t>
  </si>
  <si>
    <t>VAT</t>
  </si>
  <si>
    <t>ประกันสังคม</t>
  </si>
  <si>
    <t>จำนวนคน</t>
  </si>
  <si>
    <t>ยอดที่ต้องจ่าย</t>
  </si>
  <si>
    <t>จ่ายกสิกร</t>
  </si>
  <si>
    <t>ค่าธรมเนียม</t>
  </si>
  <si>
    <t>จ่ายสด</t>
  </si>
  <si>
    <t>ยอดที่จ่ายจริง</t>
  </si>
  <si>
    <t>ผลต่าง</t>
  </si>
  <si>
    <t>ชำระเงิน</t>
  </si>
  <si>
    <t>ยอดเงิน</t>
  </si>
  <si>
    <t>เล่มที่</t>
  </si>
  <si>
    <t>(หัก 3% แล้ว)</t>
  </si>
  <si>
    <t>001-58</t>
  </si>
  <si>
    <t>ฟูจิทสี เท็น</t>
  </si>
  <si>
    <t>BP-PTY-</t>
  </si>
  <si>
    <t>002-58</t>
  </si>
  <si>
    <t>003-58</t>
  </si>
  <si>
    <t>004-58</t>
  </si>
  <si>
    <t>เอเวอรี่ เดนนิสสัน</t>
  </si>
  <si>
    <t>005-58</t>
  </si>
  <si>
    <t>006-58</t>
  </si>
  <si>
    <t>โคเน่เครน</t>
  </si>
  <si>
    <t>007-58</t>
  </si>
  <si>
    <t>อีโธสเอ็นเนอร์จี</t>
  </si>
  <si>
    <t>008-58</t>
  </si>
  <si>
    <r>
      <t xml:space="preserve">อีเลคโทรลักซ์  </t>
    </r>
    <r>
      <rPr>
        <sz val="10"/>
        <color indexed="10"/>
        <rFont val="Arial"/>
        <family val="2"/>
      </rPr>
      <t xml:space="preserve">(รายผลิต-วัน) Toba </t>
    </r>
  </si>
  <si>
    <t>ไอร่า FACTORY</t>
  </si>
  <si>
    <t>009-58</t>
  </si>
  <si>
    <r>
      <t xml:space="preserve">อีเลคโทรลักซ์  </t>
    </r>
    <r>
      <rPr>
        <sz val="10"/>
        <color indexed="10"/>
        <rFont val="Arial"/>
        <family val="2"/>
      </rPr>
      <t xml:space="preserve">(รายผลิต-วัน) Salsa </t>
    </r>
  </si>
  <si>
    <r>
      <t xml:space="preserve">อีเลคโทรลักซ์ </t>
    </r>
    <r>
      <rPr>
        <sz val="10"/>
        <color indexed="10"/>
        <rFont val="Arial"/>
        <family val="2"/>
      </rPr>
      <t xml:space="preserve"> (ราย-เดือน) </t>
    </r>
  </si>
  <si>
    <t>ประมาณการ</t>
  </si>
  <si>
    <t>Grand Total</t>
  </si>
  <si>
    <t>รายละเอียดใบเสร็จรับเงิน</t>
  </si>
  <si>
    <t>รายละเอียด</t>
  </si>
  <si>
    <t>เลขที่ใบแจ้งหนี้</t>
  </si>
  <si>
    <t>วันที่จ่าย</t>
  </si>
  <si>
    <t>การชำระเงิน</t>
  </si>
  <si>
    <t>001/58</t>
  </si>
  <si>
    <t>สาขาชลบุรี</t>
  </si>
  <si>
    <t>รายละเอียดการจ่ายเงินเดือน</t>
  </si>
  <si>
    <t>เงินเดือน</t>
  </si>
  <si>
    <t>จ่ายเงินสด</t>
  </si>
  <si>
    <t xml:space="preserve">อีแอนด์เอช  พรีซิชั่น </t>
  </si>
  <si>
    <t>BP-CHON-</t>
  </si>
  <si>
    <t>002/58</t>
  </si>
  <si>
    <t>003/58</t>
  </si>
  <si>
    <t>ที. เอส. เค. ฟอร์จิ้ง จำกัด</t>
  </si>
  <si>
    <t>004/58</t>
  </si>
  <si>
    <t>005/58</t>
  </si>
  <si>
    <t>006/58</t>
  </si>
  <si>
    <t>ไม่มีเงินเดือน</t>
  </si>
  <si>
    <t>007/58</t>
  </si>
  <si>
    <t>008/58</t>
  </si>
  <si>
    <t>นิตโต้ มาเทค</t>
  </si>
  <si>
    <t>ได้รับชำระเงิน</t>
  </si>
  <si>
    <t>รวมทั้งหมด</t>
  </si>
  <si>
    <t>58-01</t>
  </si>
  <si>
    <t>58-02</t>
  </si>
  <si>
    <t>58-03</t>
  </si>
  <si>
    <t>58-04</t>
  </si>
  <si>
    <t>TAIKISHA (THAILAND) CO.,LTD.</t>
  </si>
  <si>
    <t>THE ROYAL BANK OF SCOTLAND PLC, BANGKOK BRANCH</t>
  </si>
  <si>
    <t>คาล์ม ซี เซอร์วิส จำกัด</t>
  </si>
  <si>
    <t>ชิปโก้ ทรานสปอร์ต (ประเทศไทย) จำกัด</t>
  </si>
  <si>
    <t>ซันเมสเซ (ไทยแลนด์) จำกัด</t>
  </si>
  <si>
    <t>ซิกม่า เอลิเวเตอร์ (ประเทศไทย) จำกัด</t>
  </si>
  <si>
    <t>ตรีเพชรอีซูซุเซลส์ จำกัด</t>
  </si>
  <si>
    <t>ตรีเพชรอีซูซุบริการ จำกัด</t>
  </si>
  <si>
    <t>ตรีเพชรอีซูซุลีสซิ่ง จำกัด</t>
  </si>
  <si>
    <t>ทาทา สตีล (ประเทศไทย) จำกัด (มหาชน)</t>
  </si>
  <si>
    <t>เทเวศประกันภัย จำกัด (มหาชน)</t>
  </si>
  <si>
    <t>นวกิจประกันภัย จำกัด (มหาชน)</t>
  </si>
  <si>
    <t>บางจาก โซลาร์เอ็นเนอร์ยี จำกัด</t>
  </si>
  <si>
    <t>บางจากปิโตรเลียม จำกัด (มหาชน)</t>
  </si>
  <si>
    <t>ปูนซิเมนต์ไทย จำกัด (มหาชน)</t>
  </si>
  <si>
    <t>พลัส พร็อพเพอร์ตี้ จำกัด</t>
  </si>
  <si>
    <t>พัฒนาไทยบริการ จำกัด</t>
  </si>
  <si>
    <t>พานาโซนิค แมเนจเม้นท์ (ประเทศไทย) จำกัด</t>
  </si>
  <si>
    <t>พานาโซนิค อินดัสเตรียล ดิไวซ์ เซลส์ (ประเทศไทย) จำกัด</t>
  </si>
  <si>
    <t>พานาโซนิค เอ.พี.เซลส์ (ประเทศไทย) จำกัด</t>
  </si>
  <si>
    <t>มิตซุย สุมิโตโม อินชัวรันซ์ จำกัด สาขาประเทศไทย</t>
  </si>
  <si>
    <t>ยูนิเพรส (ไทยแลนด์) จำกัด</t>
  </si>
  <si>
    <t>ราชาอีควิปเมนท์ จำกัด</t>
  </si>
  <si>
    <t>แสนสิริ จำกัด (มหาชน)</t>
  </si>
  <si>
    <t>อีซูซุมอเตอร์ อินเตอร์เนชั่นแนล โอเปอเรชั่น(ประเทศไทย) </t>
  </si>
  <si>
    <t>เอเซียเสริมกิจลิสซิ่ง จำกัด(มหาชน)</t>
  </si>
  <si>
    <t>เอ็มเอสไอจี เซอร์วิส แอนด์ แอดจัสติ้ง (ประเทศไทย) จำกัด</t>
  </si>
  <si>
    <t>เอสซีจี เอ็กซพีเรียนซ์ จำกัด</t>
  </si>
  <si>
    <t>แอมเวย์ ประเทศไทย จำกัด</t>
  </si>
  <si>
    <t>แอร์โค จำกัด</t>
  </si>
  <si>
    <t>โอทิส เอเลเวเทอร์ (ประเทศไทย) จำกัด</t>
  </si>
  <si>
    <t>โกลคอล ลอว์ แอนด์ คอลเล็คชั่น จำกัด</t>
  </si>
  <si>
    <t>โทรีเซน ชิปปิ้ง แอนด์ โลจิสติกส์ จำกัด</t>
  </si>
  <si>
    <t>นิติรัฐ ลอว์ แอนด์ คอลเลคชั่น จำกัด</t>
  </si>
  <si>
    <t>แบงคอก รีซอร์ส เซ็นเตอร์ จำกัด</t>
  </si>
  <si>
    <t>สแกน-ไอที (ประเทศไทย) จำกัด</t>
  </si>
  <si>
    <t>ไทย-เยอรมัน โปรดักส์ จำกัด(มหาชน)</t>
  </si>
  <si>
    <t>Training ผลรวม</t>
  </si>
  <si>
    <t>โมเดิร์น โฮม จำกัด</t>
  </si>
  <si>
    <t>2.9</t>
  </si>
  <si>
    <t>58-05</t>
  </si>
  <si>
    <t>Other</t>
  </si>
  <si>
    <t>นิฟโก้ (ไทยแลนด์) จำกัด</t>
  </si>
  <si>
    <t>แอร์โค</t>
  </si>
  <si>
    <t>โอน=0,000,000.00 บาท-BBL-รัชดา 00/00</t>
  </si>
  <si>
    <t>พัทธนันท์ ทรัพย์บุษกลกุล (แป๊ว)</t>
  </si>
  <si>
    <t>วินัย คำนวนธรรมศาสตร์ (เขียว)</t>
  </si>
  <si>
    <t>อรอุมา สาหร่ายทอง (หมี)</t>
  </si>
  <si>
    <t>ชไมพร บุดดี (อ๊อฟ)</t>
  </si>
  <si>
    <t>กาวิลย์ ชื่มชม (วิลย์)</t>
  </si>
  <si>
    <t>แสงเดือน จิตต์ประวัติ (อร)</t>
  </si>
  <si>
    <t>ขนิษฐา มะลิ (ตุ๊กตา)</t>
  </si>
  <si>
    <t>ฤทธิ์ฤดี เรืองฤทธิ์ (โบว์)</t>
  </si>
  <si>
    <t>วัลภา ตั๊นศิริ (ปุ้ย)</t>
  </si>
  <si>
    <t>นายปิยวัชร์ ทรัพย์ปรุง (แม็ก) IT เข้า 07/04/2015</t>
  </si>
  <si>
    <t>เปรียบเทียบ เดือนก่อน04/2558</t>
  </si>
  <si>
    <t>คุณวุฑฒ์ พิธุพันธ์ (จ๊ะ)</t>
  </si>
  <si>
    <t>ภัทราพร สุขคุ้ม (เน)</t>
  </si>
  <si>
    <t>เกศรินทร์ ชูเชื้อ (โอ๋)</t>
  </si>
  <si>
    <t>นภสกร ยืนยงทวีกร (กอล์ฟ)</t>
  </si>
  <si>
    <t>สาริศา แดงละอุ่น (แน็ท)</t>
  </si>
  <si>
    <t>ขนัฏฐา พลเหตุ (เจี๊ยบ)</t>
  </si>
  <si>
    <t xml:space="preserve">นิดา แซ่โค้ว (แมว) </t>
  </si>
  <si>
    <t>เมทินี ทับทิมไทย (เมย์)</t>
  </si>
  <si>
    <t>วิไลพร ชำนาญการ (หนูนา) เข้างาน 19/05</t>
  </si>
  <si>
    <t>นายปิยวัชร์ ทรัพย์ปรุง (แม็ก)</t>
  </si>
  <si>
    <t>เปรียบเทียบ เดือนก่อน05/2558</t>
  </si>
  <si>
    <t>ชนิตา  แก้วจันทร์ (บี) เข้างาน 15/06</t>
  </si>
  <si>
    <t>58-06</t>
  </si>
  <si>
    <r>
      <t xml:space="preserve">อีแอนด์เอช  พรีซิชั่น </t>
    </r>
    <r>
      <rPr>
        <sz val="10"/>
        <color indexed="10"/>
        <rFont val="Arial"/>
        <family val="2"/>
      </rPr>
      <t>- ตกค้าง</t>
    </r>
  </si>
  <si>
    <r>
      <t>คูโบต้า โพรเคียวเมนต์</t>
    </r>
    <r>
      <rPr>
        <sz val="10"/>
        <color indexed="10"/>
        <rFont val="Arial"/>
        <family val="2"/>
      </rPr>
      <t xml:space="preserve">      Pr</t>
    </r>
  </si>
  <si>
    <t>โอน=000,000.00 กสิกร-S/V  20/08</t>
  </si>
  <si>
    <t>BP-</t>
  </si>
  <si>
    <t>อีซูซุมอเตอร์ อินเตอร์เนชั่นแนล โอเปอเรชั่น(ประเทศไทย) -พระประแดง</t>
  </si>
  <si>
    <t>ปิยวัชร์</t>
  </si>
  <si>
    <t>BPIT-PTY-07-</t>
  </si>
  <si>
    <t>58-07</t>
  </si>
  <si>
    <r>
      <t xml:space="preserve"> </t>
    </r>
    <r>
      <rPr>
        <sz val="10"/>
        <color indexed="10"/>
        <rFont val="Arial"/>
        <family val="2"/>
      </rPr>
      <t>- ตกค้าง</t>
    </r>
  </si>
  <si>
    <t>กสิกร 000000000  14/08 -BBL-582-นิคม</t>
  </si>
  <si>
    <t>ยอด=0,000,000.00 (-105.-)</t>
  </si>
  <si>
    <t>HSBC-000000000 20/08</t>
  </si>
  <si>
    <t>BPIT-PTY-08-</t>
  </si>
  <si>
    <t>ปณตพร</t>
  </si>
  <si>
    <t>เปรียบเทียบ เดือนก่อน06/2558</t>
  </si>
  <si>
    <t>นางโสภิดา สุมงคล</t>
  </si>
  <si>
    <t>นางโสภิดา สุมงคล (อุ๊)</t>
  </si>
  <si>
    <t>วิไลพร ชำนาญการ (หนูนา)</t>
  </si>
  <si>
    <t>คุณวุฑฒ์ พิธุพันธ์ ออกงาน 05/07</t>
  </si>
  <si>
    <t>ศุภลักษณ์  อ่อนสันต์ (บิว)</t>
  </si>
  <si>
    <t>ทิพย์รัตน์  วรรณประสิทธิ์ (สอง)</t>
  </si>
  <si>
    <t>ประณตพร ประเสริฐศรี (เมย์)  เข้างาน 13/07</t>
  </si>
  <si>
    <t>หน่วยงาน/สังกัด</t>
  </si>
  <si>
    <t>รอบวันที่</t>
  </si>
  <si>
    <t>อื่นๆ</t>
  </si>
  <si>
    <t>สำนักงานใหญ่ -กรุงเทพฯ</t>
  </si>
  <si>
    <t>ค่าจ้าง</t>
  </si>
  <si>
    <t>บมจ.บางจากปิโตรเลียม</t>
  </si>
  <si>
    <t>ธนาคารเดอะรอยัลแบงก์ออฟไทยแลนด์</t>
  </si>
  <si>
    <t>จำนวน(คน)</t>
  </si>
  <si>
    <t>กลุ่มบริษัทตรีเพชรอีซูซุเซลส์</t>
  </si>
  <si>
    <t>กลุ่มบริษัทตรีเพชรอีซูซุบริการ/ บจก.ตรีเพชรอีซูซุลีสซิ่ง/ บจก.ยูนิเพรส</t>
  </si>
  <si>
    <t>กลุ่ม Staffรวม (หลายบริษัท)</t>
  </si>
  <si>
    <t>บมจ.เทเวศประกันภัย</t>
  </si>
  <si>
    <t>ยอดรวม</t>
  </si>
  <si>
    <t>ค่าใช้จ่ายจัดสัมมนา/ เงินรางวัล-เงินจูงใจ</t>
  </si>
  <si>
    <t>รายได้-งาน Outsource;</t>
  </si>
  <si>
    <t>Transfer</t>
  </si>
  <si>
    <t>Service</t>
  </si>
  <si>
    <t>รวมค่าใช้จ่านส่วนกลาง PTY &amp; CHON</t>
  </si>
  <si>
    <t>58-08</t>
  </si>
  <si>
    <t>แอ็ดวานซ์ แพลนเนอร์</t>
  </si>
  <si>
    <t>ฮอนด้า อาร์ แอนด์ ดี เอเชีย แปซิฟิค</t>
  </si>
  <si>
    <t>BPIT-CHON-08-</t>
  </si>
  <si>
    <t>นิสโช  พรีซิชั่น (ไทยแลนด์)</t>
  </si>
  <si>
    <t>สิงหาคม 2558</t>
  </si>
  <si>
    <t>โอน=3,114.00 เข้า-กสิกร-047  15/09</t>
  </si>
  <si>
    <t>009/58</t>
  </si>
  <si>
    <t xml:space="preserve">06 - 20 สค. </t>
  </si>
  <si>
    <t>26กค. - 25สค.58</t>
  </si>
  <si>
    <t>โอน=000,000.00(-12)-BBL ตลิ่งชัน 15/09</t>
  </si>
  <si>
    <t>11 กค.- 10 สค.58</t>
  </si>
  <si>
    <r>
      <t xml:space="preserve">อีเลคโทรลักซ์ </t>
    </r>
    <r>
      <rPr>
        <sz val="10"/>
        <color indexed="10"/>
        <rFont val="Arial"/>
        <family val="2"/>
      </rPr>
      <t xml:space="preserve"> (Recruitment) </t>
    </r>
  </si>
  <si>
    <t>BPIT-09-</t>
  </si>
  <si>
    <t>BPIT-PTY-09-</t>
  </si>
  <si>
    <t>ค่าประกันอุบัติเหตุ/ประกันสุขภาพ</t>
  </si>
  <si>
    <t>9.00-17.20</t>
  </si>
  <si>
    <t>13.00-16.30</t>
  </si>
  <si>
    <t>8.30-17.30</t>
  </si>
  <si>
    <t>For P&amp;L;</t>
  </si>
  <si>
    <t>ยอดรวม Out-BKK</t>
  </si>
  <si>
    <t>บสย</t>
  </si>
  <si>
    <t>เอเชีย</t>
  </si>
  <si>
    <t>ยูนิเพรส</t>
  </si>
  <si>
    <t>RBS</t>
  </si>
  <si>
    <t>OTIS</t>
  </si>
  <si>
    <t>อีซูซุมอเตอร์-พระประแดง</t>
  </si>
  <si>
    <t>หัก-ค่าOTเทเวศ</t>
  </si>
  <si>
    <t>หัก-Airco สาขาพัทยา</t>
  </si>
  <si>
    <t>9.00-14.30</t>
  </si>
  <si>
    <t>บ.ตรีเพชรบริการ</t>
  </si>
  <si>
    <t>2,3/9/58</t>
  </si>
  <si>
    <t>วินัย</t>
  </si>
  <si>
    <t>10.00-17.30</t>
  </si>
  <si>
    <t>บ.เทเวศร์ + บ.ชิปโก้</t>
  </si>
  <si>
    <t>10.30-13.38</t>
  </si>
  <si>
    <t>บ.ตรีเพชรอีซูซุเซลล์</t>
  </si>
  <si>
    <t xml:space="preserve">8.00 - </t>
  </si>
  <si>
    <t>ไปประชุมที่สาขาชลบุรี</t>
  </si>
  <si>
    <t>ส่งน้ำที่ราชพฤก + บ.ตรีเพชร</t>
  </si>
  <si>
    <t>ทิพย์รัตน์</t>
  </si>
  <si>
    <t>05.00-19.00</t>
  </si>
  <si>
    <t>บ.บางจากโรงกลั่น + บางจากโซล่า</t>
  </si>
  <si>
    <t>13.30-17.50</t>
  </si>
  <si>
    <t>วัดไร่ขิง</t>
  </si>
  <si>
    <t>IT&amp;PA</t>
  </si>
  <si>
    <t>Backupข้อมูลที่ชลบุรี</t>
  </si>
  <si>
    <t>ณัฐวุฒิ</t>
  </si>
  <si>
    <t>14.00-15.30</t>
  </si>
  <si>
    <t>นำรถไปเปลี่ยนถ่ายน้ำมันเครื่อง</t>
  </si>
  <si>
    <t>วินัย/ปิยวัชร์</t>
  </si>
  <si>
    <t>9.30 - 17.00</t>
  </si>
  <si>
    <t>เซ็นสัญญาจ้าง + สำรวจความพึงพอใจ</t>
  </si>
  <si>
    <t>บางจากโซล่า (บางปะอิน)</t>
  </si>
  <si>
    <t>9.00-17.00</t>
  </si>
  <si>
    <t>Backupข้อมูลที่พัทยา</t>
  </si>
  <si>
    <t>12.00-15.00</t>
  </si>
  <si>
    <t>ซื้อของที่ออฟฟิศเมท + บ.ตรีเพชร</t>
  </si>
  <si>
    <t>*วันที่ 23/9/58 ไปงานของ IT&amp;PAและOutBKK คิดคนละครึ่ง</t>
  </si>
  <si>
    <t>บัญชีเงินเดือน ประจำเดือนกันยายน 2558</t>
  </si>
  <si>
    <t>11/8/58-10/9/58</t>
  </si>
  <si>
    <t>1-30/9/58</t>
  </si>
  <si>
    <t>21/8/58-20/9/58</t>
  </si>
  <si>
    <t>26/8/58-25/9/58</t>
  </si>
  <si>
    <t>รอบวันจ่าย</t>
  </si>
  <si>
    <t>ทุกวันที่ 20</t>
  </si>
  <si>
    <t>ทุกวันที่ 25</t>
  </si>
  <si>
    <t>ทุกวันที่ 30,31</t>
  </si>
  <si>
    <t>คงเหลือ Out-BKKกย.</t>
  </si>
  <si>
    <t>58-09</t>
  </si>
  <si>
    <t>BPIT-CHON-09-</t>
  </si>
  <si>
    <r>
      <t>BPIT</t>
    </r>
    <r>
      <rPr>
        <b/>
        <u/>
        <sz val="16"/>
        <rFont val="Arial"/>
        <family val="2"/>
      </rPr>
      <t xml:space="preserve"> - ใบแจ้งหนี้-ค่าบริการของเดือน   กันยายน  2558</t>
    </r>
  </si>
  <si>
    <t xml:space="preserve">16 - 31 สค. </t>
  </si>
  <si>
    <t>โอน=1,145,922.81  เข้า-BBL-รัชดา 00/09</t>
  </si>
  <si>
    <t>(=1,145,934.81)-12   ไม่ได้ FACTORING</t>
  </si>
  <si>
    <t>21 สค - 05 กย</t>
  </si>
  <si>
    <t>กสิกร 08317102  30/09 -BBL-582-นิคม</t>
  </si>
  <si>
    <t xml:space="preserve">01 - 15 กย. </t>
  </si>
  <si>
    <t>โอน=0,000,000.00  เข้า-BBL-รัชดา 00/09</t>
  </si>
  <si>
    <r>
      <t xml:space="preserve">(=1,086,870.67)หัก12฿   </t>
    </r>
    <r>
      <rPr>
        <b/>
        <sz val="10"/>
        <color indexed="10"/>
        <rFont val="Arial"/>
        <family val="2"/>
      </rPr>
      <t>ส่งFACTORING</t>
    </r>
  </si>
  <si>
    <t>กันยายน 2558</t>
  </si>
  <si>
    <t>โอน=0,000.00 เข้า-กสิกร-047  15/10</t>
  </si>
  <si>
    <t>16 สค. - 15 กย.</t>
  </si>
  <si>
    <t>SCB 00076864 25/09  BBL-582-นิคม</t>
  </si>
  <si>
    <t>21 สค. - 20 กย.</t>
  </si>
  <si>
    <t>โอน=1,107,945.80 (-31) เข้า-SCB  30/09</t>
  </si>
  <si>
    <t xml:space="preserve">06 - 20 กย. </t>
  </si>
  <si>
    <r>
      <t>BPIT</t>
    </r>
    <r>
      <rPr>
        <b/>
        <u/>
        <sz val="16"/>
        <rFont val="Arial"/>
        <family val="2"/>
      </rPr>
      <t xml:space="preserve"> - ใบเสร็จรับเงิน-ค่าบริการของเดือน   กันยายน  2558</t>
    </r>
  </si>
  <si>
    <t xml:space="preserve">01 - 15 กค. </t>
  </si>
  <si>
    <t>โอน=1,042,450.96 เข้า-BBL-รัชดา 31/7</t>
  </si>
  <si>
    <t>กสิกร 08317085  15/09 -BBL-582-นิคม</t>
  </si>
  <si>
    <r>
      <t>BPIT</t>
    </r>
    <r>
      <rPr>
        <b/>
        <u/>
        <sz val="16"/>
        <rFont val="Arial"/>
        <family val="2"/>
      </rPr>
      <t xml:space="preserve"> - ใบแจ้งหนี้-ค่าบริการของเดือน   กันยายน   2558</t>
    </r>
  </si>
  <si>
    <t>16 - 31 สค. 58</t>
  </si>
  <si>
    <t>โอน=777,129.84(-00)-BBL 277 04/09</t>
  </si>
  <si>
    <t>01 - 15 กย. 58</t>
  </si>
  <si>
    <t>โอน=664,412.22(-00)-BBL 277 21/09</t>
  </si>
  <si>
    <r>
      <t xml:space="preserve">โคเน่เครน  </t>
    </r>
    <r>
      <rPr>
        <sz val="10"/>
        <color indexed="10"/>
        <rFont val="Arial"/>
        <family val="2"/>
      </rPr>
      <t>(ค่าเบี้ยประกัน)</t>
    </r>
  </si>
  <si>
    <t>ค่าเบี้ยประกันพนักงาน</t>
  </si>
  <si>
    <t>26สค - 25กย58</t>
  </si>
  <si>
    <t>11 สค.- 10 กย.58</t>
  </si>
  <si>
    <r>
      <t>BPIT</t>
    </r>
    <r>
      <rPr>
        <b/>
        <u/>
        <sz val="16"/>
        <rFont val="Arial"/>
        <family val="2"/>
      </rPr>
      <t xml:space="preserve"> - ใบเสร็จรับเงิน-ค่าบริการของเดือน    กันยายน   2558</t>
    </r>
  </si>
  <si>
    <t xml:space="preserve">16 มิย. - 30 มิย. </t>
  </si>
  <si>
    <t>โอน=18,483.66-(-8)SCB- 08/09</t>
  </si>
  <si>
    <t>โอน=43,709.16(-12)-BBL ตลิ่งชัน 15/09</t>
  </si>
  <si>
    <t>26มิย - 25กค58</t>
  </si>
  <si>
    <t>โอน=235,997.84 (-11)กสิกร-S/V  20/09</t>
  </si>
  <si>
    <t>ส่ง-ไอร่า FACTORY</t>
  </si>
  <si>
    <t>โอน=3,801,677.17 บาท-BBL-รัชดา 28/09</t>
  </si>
  <si>
    <t>ยอด=3,801,782.17 (-105.-)</t>
  </si>
  <si>
    <t>HSBC-00206602 21/09</t>
  </si>
  <si>
    <t>ปันส่วน</t>
  </si>
  <si>
    <t>ยอดไม่รวมโอนคน</t>
  </si>
  <si>
    <t>ยอดไม่รวมโอน/ไม่รวมRecruit</t>
  </si>
  <si>
    <t>BPIT-PTY-10-</t>
  </si>
  <si>
    <t>16 - 30 กย 58</t>
  </si>
  <si>
    <t>โอน=7xx,xxx(-00)-BBL 277 6/10</t>
  </si>
  <si>
    <t>15007x</t>
  </si>
  <si>
    <t>26สค. - 25กย.58</t>
  </si>
  <si>
    <t>*เดือนกย.</t>
  </si>
  <si>
    <t>แซตคอม โกลบอล จำกัด</t>
  </si>
  <si>
    <t>update13-10-58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</si>
</sst>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3" formatCode="_-* #,##0.00_-;\-* #,##0.00_-;_-* &quot;-&quot;??_-;_-@_-"/>
    <numFmt numFmtId="187" formatCode="#,##0.00_);[Black]\(#,##0.00\)"/>
    <numFmt numFmtId="188" formatCode="mmmm\ yyyy"/>
    <numFmt numFmtId="189" formatCode="0.0"/>
    <numFmt numFmtId="190" formatCode="_-* #,##0_-;\-* #,##0_-;_-* &quot;-&quot;??_-;_-@_-"/>
    <numFmt numFmtId="191" formatCode="#,##0.00_ ;[Red]\-#,##0.00\ "/>
    <numFmt numFmtId="192" formatCode="[$-F800]dddd\,\ mmmm\ dd\,\ yyyy"/>
    <numFmt numFmtId="193" formatCode="[$-101041E]d\ mmm\ yy;@"/>
    <numFmt numFmtId="194" formatCode="mmm"/>
    <numFmt numFmtId="195" formatCode="[$-107041E]d\ mmm\ yy;@"/>
    <numFmt numFmtId="196" formatCode="_-* #,##0.00_-;\-* #,##0.00_-;_-* &quot;-   &quot;_-;_-@_-"/>
    <numFmt numFmtId="197" formatCode="#,##0.00_ ;[Red]\-#,##0.00\ ;&quot;-&quot;?"/>
    <numFmt numFmtId="198" formatCode="_-* #,##0.0_-;\-* #,##0.0_-;_-* &quot;-&quot;??_-;_-@_-"/>
  </numFmts>
  <fonts count="8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u val="singleAccounting"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u val="singleAccounting"/>
      <sz val="12"/>
      <name val="Arial"/>
      <family val="2"/>
    </font>
    <font>
      <sz val="10"/>
      <color rgb="FFFFFF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u/>
      <sz val="16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sz val="7"/>
      <name val="Arial"/>
      <family val="2"/>
    </font>
    <font>
      <b/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B050"/>
      <name val="Arial"/>
      <family val="2"/>
    </font>
    <font>
      <sz val="10"/>
      <color rgb="FF0000FF"/>
      <name val="Arial"/>
      <family val="2"/>
    </font>
    <font>
      <b/>
      <sz val="10"/>
      <color rgb="FF00B050"/>
      <name val="Arial"/>
      <family val="2"/>
    </font>
    <font>
      <sz val="8"/>
      <color theme="1"/>
      <name val="Arial"/>
      <family val="2"/>
    </font>
    <font>
      <sz val="10"/>
      <color indexed="11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b/>
      <sz val="10"/>
      <color indexed="5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color rgb="FF0000CC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  <font>
      <b/>
      <u/>
      <sz val="11"/>
      <color theme="1"/>
      <name val="Tahoma"/>
      <family val="2"/>
      <charset val="222"/>
      <scheme val="minor"/>
    </font>
    <font>
      <b/>
      <u/>
      <sz val="11"/>
      <color rgb="FF0000CC"/>
      <name val="Tahoma"/>
      <family val="2"/>
      <charset val="222"/>
      <scheme val="minor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b/>
      <u val="singleAccounting"/>
      <sz val="10"/>
      <color rgb="FFC00000"/>
      <name val="Arial"/>
      <family val="2"/>
    </font>
    <font>
      <sz val="7"/>
      <color rgb="FF0000CC"/>
      <name val="Arial"/>
      <family val="2"/>
    </font>
    <font>
      <u/>
      <sz val="10"/>
      <color rgb="FF0000CC"/>
      <name val="Arial"/>
      <family val="2"/>
    </font>
    <font>
      <sz val="10"/>
      <name val="Arial"/>
      <family val="2"/>
    </font>
    <font>
      <b/>
      <sz val="7"/>
      <color indexed="57"/>
      <name val="Arial"/>
      <family val="2"/>
    </font>
    <font>
      <sz val="10"/>
      <color rgb="FF00FF00"/>
      <name val="Arial"/>
      <family val="2"/>
    </font>
    <font>
      <b/>
      <sz val="10"/>
      <color rgb="FF0033CC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8"/>
      <color rgb="FF7030A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FF0000"/>
      <name val="Tahoma"/>
      <family val="2"/>
      <charset val="222"/>
      <scheme val="minor"/>
    </font>
    <font>
      <sz val="10"/>
      <color rgb="FF0070C0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b/>
      <sz val="8"/>
      <color rgb="FFFF0000"/>
      <name val="Arial"/>
      <family val="2"/>
    </font>
    <font>
      <b/>
      <sz val="11"/>
      <name val="Tahoma"/>
      <family val="2"/>
      <charset val="222"/>
      <scheme val="minor"/>
    </font>
    <font>
      <b/>
      <u/>
      <sz val="11"/>
      <name val="Tahoma"/>
      <family val="2"/>
      <charset val="222"/>
      <scheme val="minor"/>
    </font>
    <font>
      <b/>
      <u/>
      <sz val="10"/>
      <color rgb="FFFF0000"/>
      <name val="Arial"/>
      <family val="2"/>
    </font>
    <font>
      <b/>
      <sz val="12"/>
      <color indexed="10"/>
      <name val="Arial"/>
      <family val="2"/>
    </font>
    <font>
      <b/>
      <sz val="8"/>
      <color theme="0"/>
      <name val="Arial"/>
      <family val="2"/>
    </font>
    <font>
      <b/>
      <sz val="11"/>
      <name val="Arial"/>
      <family val="2"/>
    </font>
    <font>
      <b/>
      <sz val="11"/>
      <color rgb="FF0000CC"/>
      <name val="Arial"/>
      <family val="2"/>
    </font>
    <font>
      <b/>
      <u/>
      <sz val="10"/>
      <color rgb="FF0000CC"/>
      <name val="Arial"/>
      <family val="2"/>
    </font>
    <font>
      <b/>
      <sz val="11"/>
      <color theme="0" tint="-4.9989318521683403E-2"/>
      <name val="Tahoma"/>
      <family val="2"/>
      <charset val="222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lightUp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mediumGray"/>
    </fill>
    <fill>
      <patternFill patternType="solid">
        <fgColor indexed="51"/>
        <bgColor indexed="64"/>
      </patternFill>
    </fill>
    <fill>
      <patternFill patternType="mediumGray">
        <bgColor indexed="51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00CC"/>
        <bgColor theme="8"/>
      </patternFill>
    </fill>
    <fill>
      <patternFill patternType="solid">
        <fgColor rgb="FF0000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33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1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</cellStyleXfs>
  <cellXfs count="1115">
    <xf numFmtId="0" fontId="0" fillId="0" borderId="0" xfId="0"/>
    <xf numFmtId="0" fontId="3" fillId="0" borderId="0" xfId="0" applyFont="1"/>
    <xf numFmtId="43" fontId="3" fillId="0" borderId="0" xfId="0" applyNumberFormat="1" applyFont="1"/>
    <xf numFmtId="43" fontId="3" fillId="0" borderId="0" xfId="0" applyNumberFormat="1" applyFont="1" applyAlignment="1">
      <alignment horizontal="center"/>
    </xf>
    <xf numFmtId="43" fontId="3" fillId="0" borderId="0" xfId="0" applyNumberFormat="1" applyFont="1" applyFill="1"/>
    <xf numFmtId="10" fontId="3" fillId="0" borderId="0" xfId="0" applyNumberFormat="1" applyFont="1"/>
    <xf numFmtId="0" fontId="3" fillId="0" borderId="1" xfId="0" applyFont="1" applyBorder="1"/>
    <xf numFmtId="0" fontId="4" fillId="0" borderId="0" xfId="0" applyFont="1"/>
    <xf numFmtId="43" fontId="4" fillId="0" borderId="0" xfId="0" applyNumberFormat="1" applyFont="1"/>
    <xf numFmtId="43" fontId="4" fillId="0" borderId="0" xfId="0" applyNumberFormat="1" applyFont="1" applyFill="1"/>
    <xf numFmtId="10" fontId="4" fillId="0" borderId="0" xfId="0" applyNumberFormat="1" applyFont="1"/>
    <xf numFmtId="0" fontId="4" fillId="0" borderId="1" xfId="0" applyFont="1" applyBorder="1"/>
    <xf numFmtId="0" fontId="3" fillId="2" borderId="0" xfId="0" applyFont="1" applyFill="1" applyBorder="1"/>
    <xf numFmtId="0" fontId="3" fillId="2" borderId="2" xfId="0" applyFont="1" applyFill="1" applyBorder="1"/>
    <xf numFmtId="43" fontId="3" fillId="2" borderId="3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10" fontId="3" fillId="2" borderId="3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43" fontId="3" fillId="2" borderId="8" xfId="0" applyNumberFormat="1" applyFont="1" applyFill="1" applyBorder="1" applyAlignment="1">
      <alignment horizontal="center"/>
    </xf>
    <xf numFmtId="43" fontId="3" fillId="2" borderId="4" xfId="0" applyNumberFormat="1" applyFont="1" applyFill="1" applyBorder="1" applyAlignment="1">
      <alignment horizontal="center"/>
    </xf>
    <xf numFmtId="10" fontId="3" fillId="2" borderId="4" xfId="0" applyNumberFormat="1" applyFont="1" applyFill="1" applyBorder="1" applyAlignment="1">
      <alignment horizontal="center" vertical="center"/>
    </xf>
    <xf numFmtId="10" fontId="3" fillId="2" borderId="9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center"/>
    </xf>
    <xf numFmtId="43" fontId="3" fillId="0" borderId="8" xfId="0" applyNumberFormat="1" applyFont="1" applyBorder="1"/>
    <xf numFmtId="43" fontId="3" fillId="0" borderId="0" xfId="0" applyNumberFormat="1" applyFont="1" applyFill="1" applyBorder="1"/>
    <xf numFmtId="10" fontId="3" fillId="0" borderId="8" xfId="0" applyNumberFormat="1" applyFont="1" applyBorder="1"/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43" fontId="4" fillId="0" borderId="4" xfId="0" applyNumberFormat="1" applyFont="1" applyFill="1" applyBorder="1"/>
    <xf numFmtId="43" fontId="4" fillId="0" borderId="8" xfId="0" applyNumberFormat="1" applyFont="1" applyFill="1" applyBorder="1"/>
    <xf numFmtId="43" fontId="4" fillId="0" borderId="0" xfId="0" applyNumberFormat="1" applyFont="1" applyFill="1" applyBorder="1"/>
    <xf numFmtId="10" fontId="4" fillId="0" borderId="8" xfId="0" applyNumberFormat="1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43" fontId="4" fillId="0" borderId="8" xfId="0" applyNumberFormat="1" applyFont="1" applyBorder="1"/>
    <xf numFmtId="10" fontId="4" fillId="0" borderId="8" xfId="0" applyNumberFormat="1" applyFont="1" applyBorder="1"/>
    <xf numFmtId="0" fontId="4" fillId="0" borderId="8" xfId="0" quotePrefix="1" applyFont="1" applyBorder="1" applyAlignment="1">
      <alignment horizontal="center"/>
    </xf>
    <xf numFmtId="0" fontId="3" fillId="3" borderId="10" xfId="0" applyFont="1" applyFill="1" applyBorder="1" applyAlignment="1"/>
    <xf numFmtId="0" fontId="3" fillId="3" borderId="11" xfId="0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43" fontId="3" fillId="3" borderId="8" xfId="0" applyNumberFormat="1" applyFont="1" applyFill="1" applyBorder="1"/>
    <xf numFmtId="10" fontId="3" fillId="3" borderId="8" xfId="0" applyNumberFormat="1" applyFont="1" applyFill="1" applyBorder="1"/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0" borderId="8" xfId="0" applyFont="1" applyFill="1" applyBorder="1" applyAlignment="1">
      <alignment horizontal="center"/>
    </xf>
    <xf numFmtId="43" fontId="3" fillId="0" borderId="8" xfId="0" applyNumberFormat="1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3" fillId="4" borderId="10" xfId="0" applyFont="1" applyFill="1" applyBorder="1" applyAlignment="1"/>
    <xf numFmtId="0" fontId="3" fillId="4" borderId="11" xfId="0" applyFont="1" applyFill="1" applyBorder="1" applyAlignment="1"/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43" fontId="3" fillId="4" borderId="8" xfId="0" applyNumberFormat="1" applyFont="1" applyFill="1" applyBorder="1"/>
    <xf numFmtId="43" fontId="3" fillId="0" borderId="9" xfId="0" applyNumberFormat="1" applyFont="1" applyFill="1" applyBorder="1"/>
    <xf numFmtId="43" fontId="3" fillId="0" borderId="11" xfId="0" applyNumberFormat="1" applyFont="1" applyBorder="1"/>
    <xf numFmtId="43" fontId="3" fillId="0" borderId="12" xfId="0" applyNumberFormat="1" applyFont="1" applyBorder="1"/>
    <xf numFmtId="43" fontId="4" fillId="5" borderId="8" xfId="0" applyNumberFormat="1" applyFont="1" applyFill="1" applyBorder="1" applyAlignment="1">
      <alignment horizontal="center"/>
    </xf>
    <xf numFmtId="43" fontId="4" fillId="0" borderId="8" xfId="0" applyNumberFormat="1" applyFont="1" applyFill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3" fillId="6" borderId="8" xfId="0" applyFont="1" applyFill="1" applyBorder="1" applyAlignment="1">
      <alignment horizontal="center"/>
    </xf>
    <xf numFmtId="0" fontId="3" fillId="6" borderId="10" xfId="0" applyFont="1" applyFill="1" applyBorder="1"/>
    <xf numFmtId="0" fontId="3" fillId="6" borderId="11" xfId="0" applyFont="1" applyFill="1" applyBorder="1"/>
    <xf numFmtId="0" fontId="3" fillId="6" borderId="12" xfId="0" applyFont="1" applyFill="1" applyBorder="1"/>
    <xf numFmtId="191" fontId="3" fillId="6" borderId="8" xfId="0" applyNumberFormat="1" applyFont="1" applyFill="1" applyBorder="1"/>
    <xf numFmtId="191" fontId="3" fillId="0" borderId="0" xfId="0" applyNumberFormat="1" applyFont="1" applyFill="1" applyBorder="1"/>
    <xf numFmtId="10" fontId="3" fillId="0" borderId="0" xfId="0" applyNumberFormat="1" applyFont="1" applyFill="1" applyBorder="1"/>
    <xf numFmtId="0" fontId="4" fillId="0" borderId="0" xfId="0" applyFont="1" applyAlignment="1">
      <alignment horizontal="center"/>
    </xf>
    <xf numFmtId="191" fontId="3" fillId="3" borderId="12" xfId="0" applyNumberFormat="1" applyFont="1" applyFill="1" applyBorder="1"/>
    <xf numFmtId="10" fontId="4" fillId="0" borderId="0" xfId="0" applyNumberFormat="1" applyFont="1" applyBorder="1"/>
    <xf numFmtId="10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4" fillId="0" borderId="8" xfId="0" quotePrefix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3" fontId="3" fillId="0" borderId="12" xfId="0" applyNumberFormat="1" applyFont="1" applyFill="1" applyBorder="1"/>
    <xf numFmtId="0" fontId="3" fillId="0" borderId="0" xfId="0" applyFont="1" applyFill="1" applyBorder="1"/>
    <xf numFmtId="187" fontId="3" fillId="6" borderId="10" xfId="0" applyNumberFormat="1" applyFont="1" applyFill="1" applyBorder="1" applyAlignment="1">
      <alignment horizontal="center"/>
    </xf>
    <xf numFmtId="187" fontId="3" fillId="6" borderId="11" xfId="0" applyNumberFormat="1" applyFont="1" applyFill="1" applyBorder="1"/>
    <xf numFmtId="187" fontId="3" fillId="6" borderId="12" xfId="0" applyNumberFormat="1" applyFont="1" applyFill="1" applyBorder="1"/>
    <xf numFmtId="187" fontId="3" fillId="6" borderId="8" xfId="0" applyNumberFormat="1" applyFont="1" applyFill="1" applyBorder="1"/>
    <xf numFmtId="187" fontId="3" fillId="0" borderId="0" xfId="0" applyNumberFormat="1" applyFont="1" applyFill="1" applyBorder="1"/>
    <xf numFmtId="10" fontId="3" fillId="0" borderId="0" xfId="6" applyNumberFormat="1" applyFont="1" applyFill="1" applyBorder="1"/>
    <xf numFmtId="187" fontId="3" fillId="0" borderId="0" xfId="0" applyNumberFormat="1" applyFont="1"/>
    <xf numFmtId="191" fontId="4" fillId="0" borderId="0" xfId="0" applyNumberFormat="1" applyFont="1"/>
    <xf numFmtId="43" fontId="0" fillId="0" borderId="0" xfId="0" applyNumberFormat="1"/>
    <xf numFmtId="43" fontId="0" fillId="0" borderId="0" xfId="0" applyNumberFormat="1" applyFill="1"/>
    <xf numFmtId="10" fontId="0" fillId="0" borderId="0" xfId="0" applyNumberFormat="1"/>
    <xf numFmtId="0" fontId="3" fillId="0" borderId="0" xfId="0" applyFont="1" applyAlignment="1">
      <alignment horizontal="right"/>
    </xf>
    <xf numFmtId="43" fontId="2" fillId="0" borderId="0" xfId="3"/>
    <xf numFmtId="43" fontId="2" fillId="0" borderId="13" xfId="3" applyBorder="1"/>
    <xf numFmtId="43" fontId="3" fillId="0" borderId="13" xfId="3" applyFont="1" applyBorder="1"/>
    <xf numFmtId="0" fontId="3" fillId="0" borderId="0" xfId="0" applyFont="1" applyAlignment="1">
      <alignment horizontal="center"/>
    </xf>
    <xf numFmtId="43" fontId="3" fillId="0" borderId="0" xfId="3" applyFont="1" applyBorder="1"/>
    <xf numFmtId="0" fontId="6" fillId="0" borderId="0" xfId="0" applyFont="1"/>
    <xf numFmtId="0" fontId="3" fillId="0" borderId="10" xfId="0" applyFont="1" applyBorder="1" applyAlignment="1">
      <alignment horizontal="left"/>
    </xf>
    <xf numFmtId="43" fontId="3" fillId="2" borderId="8" xfId="0" applyNumberFormat="1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0" xfId="0" applyFont="1" applyBorder="1" applyAlignment="1">
      <alignment horizontal="left"/>
    </xf>
    <xf numFmtId="43" fontId="3" fillId="8" borderId="12" xfId="3" applyFont="1" applyFill="1" applyBorder="1"/>
    <xf numFmtId="43" fontId="3" fillId="8" borderId="8" xfId="0" applyNumberFormat="1" applyFont="1" applyFill="1" applyBorder="1"/>
    <xf numFmtId="43" fontId="3" fillId="0" borderId="8" xfId="0" applyNumberFormat="1" applyFont="1" applyFill="1" applyBorder="1" applyAlignment="1">
      <alignment horizontal="center"/>
    </xf>
    <xf numFmtId="1" fontId="3" fillId="8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43" fontId="3" fillId="0" borderId="10" xfId="0" applyNumberFormat="1" applyFont="1" applyFill="1" applyBorder="1"/>
    <xf numFmtId="10" fontId="3" fillId="0" borderId="0" xfId="0" applyNumberFormat="1" applyFont="1" applyFill="1"/>
    <xf numFmtId="43" fontId="4" fillId="8" borderId="8" xfId="3" applyFont="1" applyFill="1" applyBorder="1"/>
    <xf numFmtId="0" fontId="7" fillId="0" borderId="0" xfId="0" applyFont="1" applyFill="1"/>
    <xf numFmtId="43" fontId="3" fillId="0" borderId="6" xfId="0" applyNumberFormat="1" applyFont="1" applyFill="1" applyBorder="1"/>
    <xf numFmtId="10" fontId="3" fillId="6" borderId="14" xfId="6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6" borderId="15" xfId="0" applyFont="1" applyFill="1" applyBorder="1"/>
    <xf numFmtId="0" fontId="4" fillId="0" borderId="0" xfId="0" applyFont="1" applyBorder="1"/>
    <xf numFmtId="0" fontId="3" fillId="2" borderId="16" xfId="0" applyFont="1" applyFill="1" applyBorder="1"/>
    <xf numFmtId="43" fontId="11" fillId="6" borderId="17" xfId="0" applyNumberFormat="1" applyFont="1" applyFill="1" applyBorder="1"/>
    <xf numFmtId="43" fontId="11" fillId="3" borderId="17" xfId="0" applyNumberFormat="1" applyFont="1" applyFill="1" applyBorder="1"/>
    <xf numFmtId="0" fontId="4" fillId="3" borderId="15" xfId="0" applyFont="1" applyFill="1" applyBorder="1"/>
    <xf numFmtId="43" fontId="11" fillId="3" borderId="18" xfId="0" applyNumberFormat="1" applyFont="1" applyFill="1" applyBorder="1"/>
    <xf numFmtId="10" fontId="3" fillId="3" borderId="14" xfId="6" applyNumberFormat="1" applyFont="1" applyFill="1" applyBorder="1" applyAlignment="1">
      <alignment horizontal="center"/>
    </xf>
    <xf numFmtId="191" fontId="3" fillId="3" borderId="3" xfId="0" applyNumberFormat="1" applyFont="1" applyFill="1" applyBorder="1" applyAlignment="1"/>
    <xf numFmtId="0" fontId="7" fillId="0" borderId="6" xfId="0" applyFont="1" applyFill="1" applyBorder="1"/>
    <xf numFmtId="43" fontId="3" fillId="0" borderId="7" xfId="0" applyNumberFormat="1" applyFont="1" applyFill="1" applyBorder="1"/>
    <xf numFmtId="0" fontId="4" fillId="6" borderId="17" xfId="0" applyFont="1" applyFill="1" applyBorder="1"/>
    <xf numFmtId="0" fontId="4" fillId="0" borderId="0" xfId="0" applyFont="1" applyFill="1" applyBorder="1"/>
    <xf numFmtId="0" fontId="3" fillId="0" borderId="6" xfId="0" applyFont="1" applyFill="1" applyBorder="1"/>
    <xf numFmtId="0" fontId="4" fillId="0" borderId="6" xfId="0" applyFont="1" applyBorder="1"/>
    <xf numFmtId="0" fontId="4" fillId="0" borderId="19" xfId="0" applyFont="1" applyBorder="1"/>
    <xf numFmtId="1" fontId="7" fillId="8" borderId="8" xfId="0" applyNumberFormat="1" applyFont="1" applyFill="1" applyBorder="1" applyAlignment="1">
      <alignment horizontal="left"/>
    </xf>
    <xf numFmtId="187" fontId="3" fillId="0" borderId="0" xfId="0" applyNumberFormat="1" applyFont="1" applyFill="1"/>
    <xf numFmtId="191" fontId="3" fillId="6" borderId="3" xfId="0" applyNumberFormat="1" applyFont="1" applyFill="1" applyBorder="1"/>
    <xf numFmtId="187" fontId="3" fillId="0" borderId="10" xfId="0" applyNumberFormat="1" applyFont="1" applyFill="1" applyBorder="1" applyAlignment="1">
      <alignment horizontal="center"/>
    </xf>
    <xf numFmtId="187" fontId="3" fillId="0" borderId="11" xfId="0" applyNumberFormat="1" applyFont="1" applyFill="1" applyBorder="1"/>
    <xf numFmtId="187" fontId="3" fillId="0" borderId="12" xfId="0" applyNumberFormat="1" applyFont="1" applyFill="1" applyBorder="1"/>
    <xf numFmtId="187" fontId="3" fillId="0" borderId="8" xfId="0" applyNumberFormat="1" applyFont="1" applyFill="1" applyBorder="1"/>
    <xf numFmtId="191" fontId="3" fillId="0" borderId="8" xfId="0" applyNumberFormat="1" applyFont="1" applyFill="1" applyBorder="1"/>
    <xf numFmtId="10" fontId="4" fillId="0" borderId="4" xfId="0" applyNumberFormat="1" applyFont="1" applyBorder="1"/>
    <xf numFmtId="10" fontId="3" fillId="0" borderId="0" xfId="0" applyNumberFormat="1" applyFont="1" applyBorder="1"/>
    <xf numFmtId="10" fontId="3" fillId="0" borderId="6" xfId="0" applyNumberFormat="1" applyFont="1" applyBorder="1"/>
    <xf numFmtId="10" fontId="3" fillId="0" borderId="0" xfId="6" applyNumberFormat="1" applyFont="1" applyFill="1" applyBorder="1" applyAlignment="1">
      <alignment horizontal="center"/>
    </xf>
    <xf numFmtId="13" fontId="4" fillId="0" borderId="0" xfId="0" applyNumberFormat="1" applyFont="1" applyFill="1" applyBorder="1"/>
    <xf numFmtId="0" fontId="2" fillId="0" borderId="0" xfId="0" applyFont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43" fontId="3" fillId="10" borderId="8" xfId="0" applyNumberFormat="1" applyFont="1" applyFill="1" applyBorder="1" applyAlignment="1">
      <alignment horizontal="right"/>
    </xf>
    <xf numFmtId="10" fontId="3" fillId="6" borderId="20" xfId="6" applyNumberFormat="1" applyFont="1" applyFill="1" applyBorder="1" applyAlignment="1">
      <alignment horizontal="center"/>
    </xf>
    <xf numFmtId="0" fontId="15" fillId="0" borderId="10" xfId="0" applyFont="1" applyBorder="1"/>
    <xf numFmtId="0" fontId="4" fillId="11" borderId="8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43" fontId="4" fillId="0" borderId="16" xfId="0" applyNumberFormat="1" applyFont="1" applyBorder="1"/>
    <xf numFmtId="10" fontId="3" fillId="0" borderId="6" xfId="6" applyNumberFormat="1" applyFont="1" applyFill="1" applyBorder="1" applyAlignment="1">
      <alignment horizontal="center"/>
    </xf>
    <xf numFmtId="10" fontId="3" fillId="0" borderId="21" xfId="6" applyNumberFormat="1" applyFont="1" applyFill="1" applyBorder="1" applyAlignment="1">
      <alignment horizontal="center"/>
    </xf>
    <xf numFmtId="43" fontId="3" fillId="4" borderId="8" xfId="3" applyFont="1" applyFill="1" applyBorder="1" applyAlignment="1">
      <alignment horizontal="center"/>
    </xf>
    <xf numFmtId="0" fontId="4" fillId="16" borderId="8" xfId="0" quotePrefix="1" applyFont="1" applyFill="1" applyBorder="1" applyAlignment="1">
      <alignment horizontal="center"/>
    </xf>
    <xf numFmtId="0" fontId="4" fillId="16" borderId="10" xfId="0" applyFont="1" applyFill="1" applyBorder="1"/>
    <xf numFmtId="0" fontId="4" fillId="16" borderId="11" xfId="0" applyFont="1" applyFill="1" applyBorder="1"/>
    <xf numFmtId="0" fontId="19" fillId="16" borderId="11" xfId="0" applyFont="1" applyFill="1" applyBorder="1"/>
    <xf numFmtId="0" fontId="4" fillId="16" borderId="12" xfId="0" applyFont="1" applyFill="1" applyBorder="1"/>
    <xf numFmtId="0" fontId="4" fillId="16" borderId="8" xfId="0" applyFont="1" applyFill="1" applyBorder="1" applyAlignment="1">
      <alignment horizontal="center"/>
    </xf>
    <xf numFmtId="43" fontId="4" fillId="16" borderId="0" xfId="0" applyNumberFormat="1" applyFont="1" applyFill="1" applyBorder="1"/>
    <xf numFmtId="10" fontId="4" fillId="16" borderId="8" xfId="0" applyNumberFormat="1" applyFont="1" applyFill="1" applyBorder="1"/>
    <xf numFmtId="0" fontId="4" fillId="16" borderId="0" xfId="0" applyFont="1" applyFill="1"/>
    <xf numFmtId="0" fontId="4" fillId="16" borderId="1" xfId="0" applyFont="1" applyFill="1" applyBorder="1"/>
    <xf numFmtId="0" fontId="0" fillId="0" borderId="0" xfId="0" applyFill="1" applyAlignment="1">
      <alignment vertical="center"/>
    </xf>
    <xf numFmtId="0" fontId="4" fillId="9" borderId="8" xfId="0" applyFont="1" applyFill="1" applyBorder="1" applyAlignment="1">
      <alignment vertical="center"/>
    </xf>
    <xf numFmtId="0" fontId="0" fillId="16" borderId="0" xfId="0" applyFill="1"/>
    <xf numFmtId="43" fontId="4" fillId="16" borderId="0" xfId="0" applyNumberFormat="1" applyFont="1" applyFill="1"/>
    <xf numFmtId="0" fontId="20" fillId="16" borderId="11" xfId="0" applyFont="1" applyFill="1" applyBorder="1"/>
    <xf numFmtId="43" fontId="0" fillId="0" borderId="13" xfId="3" applyFont="1" applyBorder="1" applyAlignment="1">
      <alignment horizontal="left"/>
    </xf>
    <xf numFmtId="0" fontId="20" fillId="0" borderId="10" xfId="0" applyFont="1" applyFill="1" applyBorder="1"/>
    <xf numFmtId="0" fontId="20" fillId="0" borderId="11" xfId="0" applyFont="1" applyFill="1" applyBorder="1"/>
    <xf numFmtId="0" fontId="20" fillId="0" borderId="12" xfId="0" applyFont="1" applyFill="1" applyBorder="1"/>
    <xf numFmtId="0" fontId="20" fillId="11" borderId="8" xfId="0" applyFont="1" applyFill="1" applyBorder="1" applyAlignment="1">
      <alignment horizontal="center"/>
    </xf>
    <xf numFmtId="0" fontId="20" fillId="0" borderId="0" xfId="0" applyFont="1" applyFill="1"/>
    <xf numFmtId="0" fontId="20" fillId="0" borderId="1" xfId="0" applyFont="1" applyFill="1" applyBorder="1"/>
    <xf numFmtId="0" fontId="0" fillId="0" borderId="0" xfId="0" applyFill="1" applyBorder="1" applyAlignment="1">
      <alignment vertical="center"/>
    </xf>
    <xf numFmtId="43" fontId="3" fillId="3" borderId="8" xfId="3" applyFont="1" applyFill="1" applyBorder="1" applyAlignment="1">
      <alignment horizontal="center"/>
    </xf>
    <xf numFmtId="43" fontId="3" fillId="6" borderId="8" xfId="0" applyNumberFormat="1" applyFont="1" applyFill="1" applyBorder="1" applyAlignment="1">
      <alignment horizontal="center"/>
    </xf>
    <xf numFmtId="43" fontId="3" fillId="2" borderId="4" xfId="0" applyNumberFormat="1" applyFont="1" applyFill="1" applyBorder="1" applyAlignment="1">
      <alignment horizontal="center" vertical="center"/>
    </xf>
    <xf numFmtId="43" fontId="3" fillId="2" borderId="22" xfId="0" applyNumberFormat="1" applyFont="1" applyFill="1" applyBorder="1" applyAlignment="1"/>
    <xf numFmtId="43" fontId="5" fillId="6" borderId="23" xfId="0" applyNumberFormat="1" applyFont="1" applyFill="1" applyBorder="1"/>
    <xf numFmtId="10" fontId="3" fillId="6" borderId="23" xfId="6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21" fillId="0" borderId="10" xfId="0" applyFont="1" applyFill="1" applyBorder="1"/>
    <xf numFmtId="0" fontId="20" fillId="0" borderId="11" xfId="0" applyFont="1" applyBorder="1"/>
    <xf numFmtId="0" fontId="20" fillId="0" borderId="12" xfId="0" applyFont="1" applyBorder="1"/>
    <xf numFmtId="0" fontId="20" fillId="0" borderId="8" xfId="0" applyFont="1" applyBorder="1" applyAlignment="1">
      <alignment horizontal="center"/>
    </xf>
    <xf numFmtId="189" fontId="4" fillId="0" borderId="8" xfId="0" applyNumberFormat="1" applyFont="1" applyFill="1" applyBorder="1" applyAlignment="1">
      <alignment horizontal="center"/>
    </xf>
    <xf numFmtId="2" fontId="21" fillId="0" borderId="8" xfId="0" applyNumberFormat="1" applyFont="1" applyFill="1" applyBorder="1" applyAlignment="1">
      <alignment horizontal="center"/>
    </xf>
    <xf numFmtId="43" fontId="4" fillId="0" borderId="8" xfId="3" applyFont="1" applyFill="1" applyBorder="1"/>
    <xf numFmtId="0" fontId="0" fillId="16" borderId="0" xfId="0" applyFill="1" applyBorder="1"/>
    <xf numFmtId="43" fontId="3" fillId="16" borderId="0" xfId="3" applyFont="1" applyFill="1" applyBorder="1" applyAlignment="1">
      <alignment horizontal="centerContinuous"/>
    </xf>
    <xf numFmtId="0" fontId="4" fillId="16" borderId="0" xfId="0" applyFont="1" applyFill="1" applyBorder="1"/>
    <xf numFmtId="0" fontId="3" fillId="16" borderId="0" xfId="0" applyFont="1" applyFill="1" applyBorder="1" applyAlignment="1">
      <alignment horizontal="centerContinuous"/>
    </xf>
    <xf numFmtId="43" fontId="4" fillId="0" borderId="13" xfId="3" applyFont="1" applyBorder="1"/>
    <xf numFmtId="0" fontId="0" fillId="0" borderId="13" xfId="0" applyBorder="1"/>
    <xf numFmtId="0" fontId="3" fillId="16" borderId="0" xfId="0" applyFont="1" applyFill="1"/>
    <xf numFmtId="41" fontId="3" fillId="16" borderId="0" xfId="0" applyNumberFormat="1" applyFont="1" applyFill="1"/>
    <xf numFmtId="43" fontId="14" fillId="0" borderId="13" xfId="3" applyFont="1" applyBorder="1"/>
    <xf numFmtId="0" fontId="3" fillId="17" borderId="13" xfId="0" applyFont="1" applyFill="1" applyBorder="1" applyAlignment="1">
      <alignment horizontal="center" vertical="center"/>
    </xf>
    <xf numFmtId="0" fontId="23" fillId="18" borderId="13" xfId="0" applyFont="1" applyFill="1" applyBorder="1" applyAlignment="1">
      <alignment horizontal="center" vertical="center"/>
    </xf>
    <xf numFmtId="0" fontId="23" fillId="18" borderId="13" xfId="0" applyFont="1" applyFill="1" applyBorder="1" applyAlignment="1">
      <alignment horizontal="center" vertical="center" wrapText="1"/>
    </xf>
    <xf numFmtId="194" fontId="0" fillId="18" borderId="13" xfId="0" applyNumberFormat="1" applyFill="1" applyBorder="1" applyAlignment="1">
      <alignment horizontal="center"/>
    </xf>
    <xf numFmtId="0" fontId="24" fillId="18" borderId="13" xfId="0" applyFont="1" applyFill="1" applyBorder="1" applyAlignment="1">
      <alignment horizontal="center" vertical="center"/>
    </xf>
    <xf numFmtId="43" fontId="25" fillId="0" borderId="13" xfId="3" applyFont="1" applyBorder="1"/>
    <xf numFmtId="43" fontId="24" fillId="0" borderId="13" xfId="3" applyFont="1" applyBorder="1"/>
    <xf numFmtId="1" fontId="3" fillId="8" borderId="0" xfId="0" applyNumberFormat="1" applyFont="1" applyFill="1"/>
    <xf numFmtId="0" fontId="3" fillId="6" borderId="20" xfId="6" applyNumberFormat="1" applyFont="1" applyFill="1" applyBorder="1" applyAlignment="1">
      <alignment horizontal="center"/>
    </xf>
    <xf numFmtId="43" fontId="4" fillId="16" borderId="8" xfId="3" applyFont="1" applyFill="1" applyBorder="1"/>
    <xf numFmtId="43" fontId="7" fillId="0" borderId="6" xfId="0" applyNumberFormat="1" applyFont="1" applyFill="1" applyBorder="1"/>
    <xf numFmtId="43" fontId="4" fillId="5" borderId="8" xfId="3" applyFont="1" applyFill="1" applyBorder="1" applyAlignment="1">
      <alignment horizontal="center"/>
    </xf>
    <xf numFmtId="43" fontId="4" fillId="0" borderId="8" xfId="3" applyFont="1" applyBorder="1"/>
    <xf numFmtId="43" fontId="20" fillId="5" borderId="8" xfId="3" applyFont="1" applyFill="1" applyBorder="1" applyAlignment="1">
      <alignment horizontal="center"/>
    </xf>
    <xf numFmtId="190" fontId="14" fillId="28" borderId="0" xfId="3" applyNumberFormat="1" applyFont="1" applyFill="1" applyAlignment="1">
      <alignment vertical="center"/>
    </xf>
    <xf numFmtId="43" fontId="3" fillId="0" borderId="19" xfId="3" applyFont="1" applyFill="1" applyBorder="1"/>
    <xf numFmtId="43" fontId="0" fillId="0" borderId="19" xfId="3" applyFont="1" applyBorder="1"/>
    <xf numFmtId="43" fontId="2" fillId="21" borderId="19" xfId="3" applyFont="1" applyFill="1" applyBorder="1"/>
    <xf numFmtId="43" fontId="28" fillId="23" borderId="29" xfId="3" applyFont="1" applyFill="1" applyBorder="1"/>
    <xf numFmtId="43" fontId="3" fillId="27" borderId="40" xfId="3" applyFont="1" applyFill="1" applyBorder="1"/>
    <xf numFmtId="43" fontId="0" fillId="15" borderId="30" xfId="3" applyFont="1" applyFill="1" applyBorder="1"/>
    <xf numFmtId="43" fontId="2" fillId="0" borderId="13" xfId="3" applyFont="1" applyBorder="1"/>
    <xf numFmtId="43" fontId="2" fillId="16" borderId="8" xfId="3" applyFont="1" applyFill="1" applyBorder="1"/>
    <xf numFmtId="43" fontId="2" fillId="16" borderId="4" xfId="3" applyFont="1" applyFill="1" applyBorder="1"/>
    <xf numFmtId="43" fontId="2" fillId="16" borderId="4" xfId="0" applyNumberFormat="1" applyFont="1" applyFill="1" applyBorder="1"/>
    <xf numFmtId="43" fontId="0" fillId="16" borderId="13" xfId="3" applyFont="1" applyFill="1" applyBorder="1"/>
    <xf numFmtId="43" fontId="0" fillId="7" borderId="13" xfId="3" applyFont="1" applyFill="1" applyBorder="1"/>
    <xf numFmtId="43" fontId="3" fillId="0" borderId="13" xfId="3" applyFont="1" applyFill="1" applyBorder="1"/>
    <xf numFmtId="43" fontId="14" fillId="16" borderId="13" xfId="3" applyFont="1" applyFill="1" applyBorder="1"/>
    <xf numFmtId="43" fontId="14" fillId="7" borderId="13" xfId="3" applyFont="1" applyFill="1" applyBorder="1"/>
    <xf numFmtId="43" fontId="14" fillId="0" borderId="13" xfId="3" applyFont="1" applyFill="1" applyBorder="1"/>
    <xf numFmtId="0" fontId="2" fillId="0" borderId="10" xfId="0" applyFont="1" applyFill="1" applyBorder="1"/>
    <xf numFmtId="43" fontId="0" fillId="16" borderId="13" xfId="3" applyFont="1" applyFill="1" applyBorder="1" applyAlignment="1">
      <alignment horizontal="left"/>
    </xf>
    <xf numFmtId="43" fontId="0" fillId="7" borderId="13" xfId="3" applyFont="1" applyFill="1" applyBorder="1" applyAlignment="1">
      <alignment horizontal="left"/>
    </xf>
    <xf numFmtId="43" fontId="4" fillId="16" borderId="13" xfId="3" applyFont="1" applyFill="1" applyBorder="1" applyAlignment="1">
      <alignment horizontal="left"/>
    </xf>
    <xf numFmtId="190" fontId="0" fillId="16" borderId="13" xfId="3" applyNumberFormat="1" applyFont="1" applyFill="1" applyBorder="1"/>
    <xf numFmtId="190" fontId="0" fillId="7" borderId="13" xfId="3" applyNumberFormat="1" applyFont="1" applyFill="1" applyBorder="1"/>
    <xf numFmtId="190" fontId="3" fillId="0" borderId="13" xfId="3" applyNumberFormat="1" applyFont="1" applyFill="1" applyBorder="1"/>
    <xf numFmtId="190" fontId="14" fillId="16" borderId="13" xfId="3" applyNumberFormat="1" applyFont="1" applyFill="1" applyBorder="1"/>
    <xf numFmtId="190" fontId="14" fillId="7" borderId="13" xfId="3" applyNumberFormat="1" applyFont="1" applyFill="1" applyBorder="1"/>
    <xf numFmtId="190" fontId="14" fillId="0" borderId="13" xfId="3" applyNumberFormat="1" applyFont="1" applyFill="1" applyBorder="1"/>
    <xf numFmtId="10" fontId="3" fillId="0" borderId="8" xfId="6" applyNumberFormat="1" applyFont="1" applyFill="1" applyBorder="1"/>
    <xf numFmtId="10" fontId="3" fillId="4" borderId="8" xfId="6" applyNumberFormat="1" applyFont="1" applyFill="1" applyBorder="1"/>
    <xf numFmtId="10" fontId="21" fillId="0" borderId="8" xfId="6" applyNumberFormat="1" applyFont="1" applyFill="1" applyBorder="1"/>
    <xf numFmtId="43" fontId="2" fillId="0" borderId="8" xfId="3" applyFont="1" applyFill="1" applyBorder="1"/>
    <xf numFmtId="43" fontId="2" fillId="0" borderId="0" xfId="0" applyNumberFormat="1" applyFont="1" applyFill="1" applyBorder="1"/>
    <xf numFmtId="10" fontId="2" fillId="0" borderId="8" xfId="0" applyNumberFormat="1" applyFont="1" applyFill="1" applyBorder="1"/>
    <xf numFmtId="0" fontId="2" fillId="0" borderId="0" xfId="0" applyFont="1" applyFill="1"/>
    <xf numFmtId="43" fontId="3" fillId="0" borderId="0" xfId="3" applyFont="1" applyFill="1" applyBorder="1"/>
    <xf numFmtId="191" fontId="3" fillId="4" borderId="8" xfId="0" applyNumberFormat="1" applyFont="1" applyFill="1" applyBorder="1"/>
    <xf numFmtId="43" fontId="3" fillId="0" borderId="6" xfId="3" applyFont="1" applyBorder="1" applyAlignment="1">
      <alignment horizontal="center"/>
    </xf>
    <xf numFmtId="43" fontId="3" fillId="32" borderId="66" xfId="3" applyFont="1" applyFill="1" applyBorder="1"/>
    <xf numFmtId="43" fontId="2" fillId="0" borderId="58" xfId="3" applyFont="1" applyFill="1" applyBorder="1" applyAlignment="1">
      <alignment horizontal="center"/>
    </xf>
    <xf numFmtId="3" fontId="2" fillId="0" borderId="58" xfId="3" applyNumberFormat="1" applyFont="1" applyFill="1" applyBorder="1" applyAlignment="1">
      <alignment horizontal="center"/>
    </xf>
    <xf numFmtId="43" fontId="2" fillId="0" borderId="58" xfId="3" applyFont="1" applyFill="1" applyBorder="1"/>
    <xf numFmtId="43" fontId="2" fillId="0" borderId="0" xfId="3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center"/>
    </xf>
    <xf numFmtId="43" fontId="2" fillId="0" borderId="0" xfId="3" applyFont="1" applyFill="1" applyBorder="1"/>
    <xf numFmtId="43" fontId="3" fillId="0" borderId="0" xfId="3" applyFont="1" applyFill="1"/>
    <xf numFmtId="43" fontId="3" fillId="32" borderId="21" xfId="3" applyFont="1" applyFill="1" applyBorder="1"/>
    <xf numFmtId="43" fontId="48" fillId="0" borderId="13" xfId="3" applyFont="1" applyBorder="1"/>
    <xf numFmtId="43" fontId="49" fillId="0" borderId="13" xfId="3" applyFont="1" applyBorder="1"/>
    <xf numFmtId="0" fontId="50" fillId="16" borderId="0" xfId="0" applyFont="1" applyFill="1" applyAlignment="1">
      <alignment horizontal="right"/>
    </xf>
    <xf numFmtId="196" fontId="50" fillId="16" borderId="0" xfId="0" applyNumberFormat="1" applyFont="1" applyFill="1"/>
    <xf numFmtId="196" fontId="0" fillId="16" borderId="0" xfId="0" applyNumberFormat="1" applyFill="1"/>
    <xf numFmtId="43" fontId="3" fillId="0" borderId="8" xfId="3" applyFont="1" applyFill="1" applyBorder="1"/>
    <xf numFmtId="0" fontId="26" fillId="0" borderId="91" xfId="0" applyFont="1" applyBorder="1"/>
    <xf numFmtId="0" fontId="0" fillId="0" borderId="91" xfId="0" applyFont="1" applyBorder="1"/>
    <xf numFmtId="197" fontId="0" fillId="0" borderId="91" xfId="0" applyNumberFormat="1" applyBorder="1"/>
    <xf numFmtId="0" fontId="26" fillId="0" borderId="0" xfId="0" applyFont="1"/>
    <xf numFmtId="0" fontId="0" fillId="0" borderId="0" xfId="0" applyFont="1"/>
    <xf numFmtId="197" fontId="0" fillId="0" borderId="0" xfId="0" applyNumberFormat="1"/>
    <xf numFmtId="0" fontId="51" fillId="0" borderId="0" xfId="0" applyFont="1" applyFill="1" applyBorder="1"/>
    <xf numFmtId="197" fontId="51" fillId="0" borderId="0" xfId="0" applyNumberFormat="1" applyFont="1" applyFill="1" applyBorder="1"/>
    <xf numFmtId="0" fontId="0" fillId="0" borderId="0" xfId="0" applyFill="1"/>
    <xf numFmtId="0" fontId="52" fillId="18" borderId="91" xfId="0" applyFont="1" applyFill="1" applyBorder="1"/>
    <xf numFmtId="197" fontId="52" fillId="18" borderId="91" xfId="0" applyNumberFormat="1" applyFont="1" applyFill="1" applyBorder="1"/>
    <xf numFmtId="0" fontId="47" fillId="0" borderId="0" xfId="0" applyFont="1"/>
    <xf numFmtId="0" fontId="52" fillId="18" borderId="0" xfId="0" applyFont="1" applyFill="1"/>
    <xf numFmtId="197" fontId="52" fillId="18" borderId="0" xfId="0" applyNumberFormat="1" applyFont="1" applyFill="1"/>
    <xf numFmtId="43" fontId="27" fillId="36" borderId="0" xfId="3" applyFont="1" applyFill="1" applyAlignment="1">
      <alignment horizontal="center"/>
    </xf>
    <xf numFmtId="0" fontId="27" fillId="36" borderId="0" xfId="0" applyFont="1" applyFill="1" applyAlignment="1">
      <alignment horizontal="center"/>
    </xf>
    <xf numFmtId="0" fontId="5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Fill="1" applyAlignment="1">
      <alignment vertical="center"/>
    </xf>
    <xf numFmtId="0" fontId="0" fillId="9" borderId="10" xfId="0" applyFill="1" applyBorder="1" applyAlignment="1">
      <alignment horizontal="center" vertical="center"/>
    </xf>
    <xf numFmtId="0" fontId="53" fillId="37" borderId="92" xfId="0" applyFont="1" applyFill="1" applyBorder="1" applyAlignment="1">
      <alignment horizontal="center" vertical="center"/>
    </xf>
    <xf numFmtId="190" fontId="28" fillId="9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12" borderId="4" xfId="0" applyFont="1" applyFill="1" applyBorder="1" applyAlignment="1">
      <alignment vertical="center"/>
    </xf>
    <xf numFmtId="0" fontId="3" fillId="10" borderId="4" xfId="0" applyFont="1" applyFill="1" applyBorder="1" applyAlignment="1">
      <alignment vertical="center"/>
    </xf>
    <xf numFmtId="190" fontId="28" fillId="9" borderId="8" xfId="0" applyNumberFormat="1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12" borderId="8" xfId="0" applyFont="1" applyFill="1" applyBorder="1" applyAlignment="1">
      <alignment vertical="center"/>
    </xf>
    <xf numFmtId="0" fontId="3" fillId="10" borderId="8" xfId="0" applyFont="1" applyFill="1" applyBorder="1" applyAlignment="1">
      <alignment vertical="center"/>
    </xf>
    <xf numFmtId="190" fontId="54" fillId="29" borderId="8" xfId="0" applyNumberFormat="1" applyFont="1" applyFill="1" applyBorder="1" applyAlignment="1">
      <alignment vertical="center"/>
    </xf>
    <xf numFmtId="190" fontId="21" fillId="9" borderId="8" xfId="0" applyNumberFormat="1" applyFont="1" applyFill="1" applyBorder="1" applyAlignment="1">
      <alignment vertical="center"/>
    </xf>
    <xf numFmtId="190" fontId="3" fillId="9" borderId="8" xfId="0" applyNumberFormat="1" applyFont="1" applyFill="1" applyBorder="1" applyAlignment="1">
      <alignment vertical="center"/>
    </xf>
    <xf numFmtId="190" fontId="55" fillId="38" borderId="0" xfId="3" applyNumberFormat="1" applyFont="1" applyFill="1" applyAlignment="1">
      <alignment vertical="center"/>
    </xf>
    <xf numFmtId="49" fontId="2" fillId="0" borderId="8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43" fontId="2" fillId="0" borderId="4" xfId="0" applyNumberFormat="1" applyFont="1" applyFill="1" applyBorder="1"/>
    <xf numFmtId="43" fontId="2" fillId="0" borderId="4" xfId="3" applyFont="1" applyFill="1" applyBorder="1"/>
    <xf numFmtId="43" fontId="2" fillId="18" borderId="8" xfId="3" applyFont="1" applyFill="1" applyBorder="1"/>
    <xf numFmtId="0" fontId="56" fillId="0" borderId="0" xfId="0" applyFont="1" applyFill="1" applyAlignment="1">
      <alignment vertical="center"/>
    </xf>
    <xf numFmtId="0" fontId="5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/>
    <xf numFmtId="3" fontId="0" fillId="0" borderId="0" xfId="0" applyNumberFormat="1"/>
    <xf numFmtId="4" fontId="33" fillId="0" borderId="0" xfId="0" applyNumberFormat="1" applyFont="1"/>
    <xf numFmtId="4" fontId="0" fillId="0" borderId="0" xfId="0" applyNumberFormat="1" applyAlignment="1">
      <alignment horizontal="right"/>
    </xf>
    <xf numFmtId="193" fontId="0" fillId="0" borderId="0" xfId="0" applyNumberFormat="1" applyAlignment="1">
      <alignment horizontal="right"/>
    </xf>
    <xf numFmtId="4" fontId="46" fillId="0" borderId="0" xfId="0" applyNumberFormat="1" applyFont="1" applyFill="1" applyBorder="1"/>
    <xf numFmtId="4" fontId="46" fillId="0" borderId="0" xfId="0" applyNumberFormat="1" applyFont="1" applyFill="1"/>
    <xf numFmtId="4" fontId="0" fillId="0" borderId="0" xfId="0" applyNumberFormat="1" applyFill="1" applyBorder="1"/>
    <xf numFmtId="3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3" fontId="3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3" fontId="3" fillId="0" borderId="0" xfId="0" applyNumberFormat="1" applyFont="1" applyFill="1"/>
    <xf numFmtId="43" fontId="4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" fontId="3" fillId="4" borderId="75" xfId="0" applyNumberFormat="1" applyFont="1" applyFill="1" applyBorder="1"/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4" fontId="3" fillId="0" borderId="58" xfId="0" applyNumberFormat="1" applyFont="1" applyFill="1" applyBorder="1"/>
    <xf numFmtId="4" fontId="3" fillId="0" borderId="0" xfId="0" applyNumberFormat="1" applyFont="1" applyFill="1" applyAlignment="1">
      <alignment horizontal="right"/>
    </xf>
    <xf numFmtId="4" fontId="45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0" fontId="34" fillId="0" borderId="0" xfId="0" applyFont="1" applyAlignment="1">
      <alignment horizontal="left"/>
    </xf>
    <xf numFmtId="43" fontId="3" fillId="32" borderId="83" xfId="0" applyNumberFormat="1" applyFont="1" applyFill="1" applyBorder="1"/>
    <xf numFmtId="193" fontId="42" fillId="33" borderId="73" xfId="0" applyNumberFormat="1" applyFont="1" applyFill="1" applyBorder="1" applyAlignment="1">
      <alignment horizontal="right"/>
    </xf>
    <xf numFmtId="43" fontId="3" fillId="32" borderId="0" xfId="0" applyNumberFormat="1" applyFont="1" applyFill="1" applyBorder="1" applyAlignment="1">
      <alignment horizontal="left"/>
    </xf>
    <xf numFmtId="193" fontId="42" fillId="33" borderId="73" xfId="0" applyNumberFormat="1" applyFont="1" applyFill="1" applyBorder="1" applyAlignment="1">
      <alignment horizontal="center"/>
    </xf>
    <xf numFmtId="3" fontId="3" fillId="32" borderId="66" xfId="0" applyNumberFormat="1" applyFont="1" applyFill="1" applyBorder="1" applyAlignment="1">
      <alignment horizontal="center"/>
    </xf>
    <xf numFmtId="4" fontId="3" fillId="32" borderId="66" xfId="0" applyNumberFormat="1" applyFont="1" applyFill="1" applyBorder="1"/>
    <xf numFmtId="3" fontId="3" fillId="32" borderId="66" xfId="0" applyNumberFormat="1" applyFont="1" applyFill="1" applyBorder="1"/>
    <xf numFmtId="193" fontId="42" fillId="33" borderId="72" xfId="0" applyNumberFormat="1" applyFont="1" applyFill="1" applyBorder="1" applyAlignment="1">
      <alignment horizontal="center"/>
    </xf>
    <xf numFmtId="4" fontId="3" fillId="32" borderId="70" xfId="0" applyNumberFormat="1" applyFont="1" applyFill="1" applyBorder="1"/>
    <xf numFmtId="0" fontId="7" fillId="32" borderId="69" xfId="0" applyFont="1" applyFill="1" applyBorder="1" applyAlignment="1">
      <alignment horizontal="center"/>
    </xf>
    <xf numFmtId="0" fontId="44" fillId="31" borderId="56" xfId="0" applyFont="1" applyFill="1" applyBorder="1" applyAlignment="1">
      <alignment horizontal="left"/>
    </xf>
    <xf numFmtId="0" fontId="44" fillId="31" borderId="55" xfId="0" applyFont="1" applyFill="1" applyBorder="1" applyAlignment="1">
      <alignment horizontal="right"/>
    </xf>
    <xf numFmtId="0" fontId="44" fillId="31" borderId="55" xfId="0" applyFont="1" applyFill="1" applyBorder="1" applyAlignment="1">
      <alignment horizontal="left"/>
    </xf>
    <xf numFmtId="43" fontId="42" fillId="31" borderId="55" xfId="0" applyNumberFormat="1" applyFont="1" applyFill="1" applyBorder="1"/>
    <xf numFmtId="43" fontId="42" fillId="31" borderId="55" xfId="0" applyNumberFormat="1" applyFont="1" applyFill="1" applyBorder="1" applyAlignment="1">
      <alignment horizontal="right"/>
    </xf>
    <xf numFmtId="43" fontId="42" fillId="31" borderId="55" xfId="0" applyNumberFormat="1" applyFont="1" applyFill="1" applyBorder="1" applyAlignment="1">
      <alignment horizontal="left"/>
    </xf>
    <xf numFmtId="193" fontId="41" fillId="31" borderId="57" xfId="0" applyNumberFormat="1" applyFont="1" applyFill="1" applyBorder="1" applyAlignment="1">
      <alignment horizontal="center"/>
    </xf>
    <xf numFmtId="3" fontId="44" fillId="31" borderId="55" xfId="0" applyNumberFormat="1" applyFont="1" applyFill="1" applyBorder="1" applyAlignment="1">
      <alignment horizontal="left"/>
    </xf>
    <xf numFmtId="3" fontId="42" fillId="31" borderId="55" xfId="0" applyNumberFormat="1" applyFont="1" applyFill="1" applyBorder="1"/>
    <xf numFmtId="43" fontId="43" fillId="31" borderId="55" xfId="0" applyNumberFormat="1" applyFont="1" applyFill="1" applyBorder="1"/>
    <xf numFmtId="4" fontId="3" fillId="4" borderId="79" xfId="0" applyNumberFormat="1" applyFont="1" applyFill="1" applyBorder="1"/>
    <xf numFmtId="4" fontId="3" fillId="4" borderId="70" xfId="0" applyNumberFormat="1" applyFont="1" applyFill="1" applyBorder="1"/>
    <xf numFmtId="0" fontId="0" fillId="0" borderId="41" xfId="0" applyBorder="1" applyAlignment="1">
      <alignment horizontal="left"/>
    </xf>
    <xf numFmtId="0" fontId="0" fillId="0" borderId="33" xfId="0" applyBorder="1" applyAlignment="1">
      <alignment horizontal="right"/>
    </xf>
    <xf numFmtId="0" fontId="44" fillId="0" borderId="34" xfId="0" applyFont="1" applyBorder="1" applyAlignment="1">
      <alignment horizontal="left"/>
    </xf>
    <xf numFmtId="3" fontId="0" fillId="12" borderId="8" xfId="0" applyNumberFormat="1" applyFill="1" applyBorder="1" applyAlignment="1">
      <alignment horizontal="center"/>
    </xf>
    <xf numFmtId="43" fontId="0" fillId="12" borderId="8" xfId="0" applyNumberFormat="1" applyFill="1" applyBorder="1"/>
    <xf numFmtId="3" fontId="0" fillId="12" borderId="8" xfId="0" applyNumberFormat="1" applyFill="1" applyBorder="1"/>
    <xf numFmtId="43" fontId="33" fillId="12" borderId="3" xfId="0" applyNumberFormat="1" applyFont="1" applyFill="1" applyBorder="1"/>
    <xf numFmtId="43" fontId="22" fillId="12" borderId="4" xfId="0" applyNumberFormat="1" applyFont="1" applyFill="1" applyBorder="1"/>
    <xf numFmtId="190" fontId="5" fillId="12" borderId="8" xfId="0" applyNumberFormat="1" applyFont="1" applyFill="1" applyBorder="1"/>
    <xf numFmtId="43" fontId="0" fillId="12" borderId="66" xfId="0" applyNumberFormat="1" applyFill="1" applyBorder="1"/>
    <xf numFmtId="195" fontId="15" fillId="0" borderId="32" xfId="0" applyNumberFormat="1" applyFont="1" applyFill="1" applyBorder="1" applyAlignment="1">
      <alignment horizontal="right"/>
    </xf>
    <xf numFmtId="43" fontId="0" fillId="4" borderId="34" xfId="0" applyNumberFormat="1" applyFill="1" applyBorder="1"/>
    <xf numFmtId="43" fontId="0" fillId="4" borderId="66" xfId="0" applyNumberFormat="1" applyFill="1" applyBorder="1"/>
    <xf numFmtId="43" fontId="0" fillId="4" borderId="72" xfId="0" applyNumberFormat="1" applyFill="1" applyBorder="1"/>
    <xf numFmtId="0" fontId="15" fillId="4" borderId="41" xfId="0" applyFont="1" applyFill="1" applyBorder="1"/>
    <xf numFmtId="0" fontId="15" fillId="4" borderId="82" xfId="0" applyFont="1" applyFill="1" applyBorder="1"/>
    <xf numFmtId="195" fontId="15" fillId="4" borderId="66" xfId="0" applyNumberFormat="1" applyFont="1" applyFill="1" applyBorder="1" applyAlignment="1">
      <alignment horizontal="right"/>
    </xf>
    <xf numFmtId="0" fontId="15" fillId="4" borderId="78" xfId="0" applyFont="1" applyFill="1" applyBorder="1" applyAlignment="1">
      <alignment horizontal="left"/>
    </xf>
    <xf numFmtId="0" fontId="15" fillId="4" borderId="77" xfId="0" applyFont="1" applyFill="1" applyBorder="1" applyAlignment="1">
      <alignment horizontal="right"/>
    </xf>
    <xf numFmtId="0" fontId="15" fillId="4" borderId="72" xfId="0" applyFont="1" applyFill="1" applyBorder="1" applyAlignment="1">
      <alignment horizontal="center"/>
    </xf>
    <xf numFmtId="0" fontId="35" fillId="0" borderId="28" xfId="0" applyFont="1" applyBorder="1" applyAlignment="1">
      <alignment horizontal="left"/>
    </xf>
    <xf numFmtId="43" fontId="37" fillId="30" borderId="4" xfId="0" applyNumberFormat="1" applyFont="1" applyFill="1" applyBorder="1"/>
    <xf numFmtId="43" fontId="36" fillId="30" borderId="4" xfId="0" applyNumberFormat="1" applyFont="1" applyFill="1" applyBorder="1"/>
    <xf numFmtId="195" fontId="35" fillId="0" borderId="32" xfId="0" applyNumberFormat="1" applyFont="1" applyFill="1" applyBorder="1" applyAlignment="1">
      <alignment horizontal="right"/>
    </xf>
    <xf numFmtId="4" fontId="5" fillId="12" borderId="4" xfId="0" applyNumberFormat="1" applyFont="1" applyFill="1" applyBorder="1" applyAlignment="1">
      <alignment horizontal="center"/>
    </xf>
    <xf numFmtId="43" fontId="5" fillId="12" borderId="8" xfId="0" applyNumberFormat="1" applyFont="1" applyFill="1" applyBorder="1"/>
    <xf numFmtId="3" fontId="5" fillId="12" borderId="4" xfId="0" applyNumberFormat="1" applyFont="1" applyFill="1" applyBorder="1"/>
    <xf numFmtId="3" fontId="5" fillId="12" borderId="8" xfId="0" applyNumberFormat="1" applyFont="1" applyFill="1" applyBorder="1"/>
    <xf numFmtId="43" fontId="5" fillId="12" borderId="4" xfId="0" applyNumberFormat="1" applyFont="1" applyFill="1" applyBorder="1"/>
    <xf numFmtId="43" fontId="5" fillId="12" borderId="8" xfId="0" applyNumberFormat="1" applyFont="1" applyFill="1" applyBorder="1" applyAlignment="1">
      <alignment horizontal="right"/>
    </xf>
    <xf numFmtId="195" fontId="20" fillId="0" borderId="32" xfId="0" applyNumberFormat="1" applyFont="1" applyFill="1" applyBorder="1" applyAlignment="1">
      <alignment horizontal="right"/>
    </xf>
    <xf numFmtId="43" fontId="0" fillId="4" borderId="5" xfId="0" applyNumberFormat="1" applyFill="1" applyBorder="1"/>
    <xf numFmtId="43" fontId="0" fillId="4" borderId="4" xfId="0" applyNumberFormat="1" applyFill="1" applyBorder="1"/>
    <xf numFmtId="43" fontId="0" fillId="4" borderId="62" xfId="0" applyNumberFormat="1" applyFill="1" applyBorder="1"/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/>
    <xf numFmtId="195" fontId="2" fillId="4" borderId="8" xfId="0" applyNumberFormat="1" applyFont="1" applyFill="1" applyBorder="1" applyAlignment="1">
      <alignment horizontal="right"/>
    </xf>
    <xf numFmtId="0" fontId="2" fillId="34" borderId="5" xfId="0" applyFont="1" applyFill="1" applyBorder="1" applyAlignment="1">
      <alignment horizontal="right"/>
    </xf>
    <xf numFmtId="0" fontId="0" fillId="4" borderId="62" xfId="0" applyFill="1" applyBorder="1" applyAlignment="1">
      <alignment horizontal="center"/>
    </xf>
    <xf numFmtId="0" fontId="35" fillId="0" borderId="65" xfId="0" applyFont="1" applyBorder="1" applyAlignment="1">
      <alignment horizontal="left"/>
    </xf>
    <xf numFmtId="3" fontId="5" fillId="12" borderId="4" xfId="0" applyNumberFormat="1" applyFont="1" applyFill="1" applyBorder="1" applyAlignment="1">
      <alignment horizontal="center"/>
    </xf>
    <xf numFmtId="43" fontId="5" fillId="12" borderId="3" xfId="0" applyNumberFormat="1" applyFont="1" applyFill="1" applyBorder="1" applyAlignment="1">
      <alignment horizontal="right"/>
    </xf>
    <xf numFmtId="0" fontId="2" fillId="4" borderId="3" xfId="0" applyFont="1" applyFill="1" applyBorder="1"/>
    <xf numFmtId="0" fontId="2" fillId="4" borderId="8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right"/>
    </xf>
    <xf numFmtId="0" fontId="0" fillId="4" borderId="32" xfId="0" applyFill="1" applyBorder="1" applyAlignment="1">
      <alignment horizontal="center"/>
    </xf>
    <xf numFmtId="0" fontId="35" fillId="0" borderId="64" xfId="0" applyFont="1" applyBorder="1" applyAlignment="1">
      <alignment horizontal="left"/>
    </xf>
    <xf numFmtId="43" fontId="5" fillId="12" borderId="3" xfId="0" applyNumberFormat="1" applyFont="1" applyFill="1" applyBorder="1"/>
    <xf numFmtId="3" fontId="5" fillId="12" borderId="3" xfId="0" applyNumberFormat="1" applyFont="1" applyFill="1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left"/>
    </xf>
    <xf numFmtId="0" fontId="0" fillId="0" borderId="0" xfId="0" applyBorder="1"/>
    <xf numFmtId="195" fontId="35" fillId="0" borderId="62" xfId="0" applyNumberFormat="1" applyFont="1" applyFill="1" applyBorder="1" applyAlignment="1">
      <alignment horizontal="right"/>
    </xf>
    <xf numFmtId="190" fontId="5" fillId="12" borderId="4" xfId="0" applyNumberFormat="1" applyFont="1" applyFill="1" applyBorder="1"/>
    <xf numFmtId="195" fontId="20" fillId="0" borderId="62" xfId="0" applyNumberFormat="1" applyFont="1" applyFill="1" applyBorder="1" applyAlignment="1">
      <alignment horizontal="right"/>
    </xf>
    <xf numFmtId="0" fontId="3" fillId="15" borderId="81" xfId="0" applyFont="1" applyFill="1" applyBorder="1" applyAlignment="1">
      <alignment horizontal="center"/>
    </xf>
    <xf numFmtId="9" fontId="2" fillId="15" borderId="78" xfId="0" applyNumberFormat="1" applyFont="1" applyFill="1" applyBorder="1" applyAlignment="1">
      <alignment horizontal="right"/>
    </xf>
    <xf numFmtId="9" fontId="2" fillId="15" borderId="77" xfId="0" applyNumberFormat="1" applyFont="1" applyFill="1" applyBorder="1" applyAlignment="1">
      <alignment horizontal="left"/>
    </xf>
    <xf numFmtId="9" fontId="2" fillId="15" borderId="66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3" fillId="0" borderId="30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0" fillId="0" borderId="72" xfId="0" applyNumberFormat="1" applyBorder="1" applyAlignment="1">
      <alignment horizontal="center"/>
    </xf>
    <xf numFmtId="4" fontId="0" fillId="0" borderId="34" xfId="0" applyNumberFormat="1" applyBorder="1" applyAlignment="1">
      <alignment horizontal="center"/>
    </xf>
    <xf numFmtId="4" fontId="0" fillId="0" borderId="66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66" xfId="0" applyBorder="1" applyAlignment="1">
      <alignment horizontal="center"/>
    </xf>
    <xf numFmtId="193" fontId="0" fillId="0" borderId="66" xfId="0" applyNumberFormat="1" applyBorder="1" applyAlignment="1">
      <alignment horizontal="center"/>
    </xf>
    <xf numFmtId="0" fontId="0" fillId="0" borderId="78" xfId="0" applyBorder="1" applyAlignment="1">
      <alignment horizontal="left"/>
    </xf>
    <xf numFmtId="0" fontId="0" fillId="0" borderId="77" xfId="0" applyBorder="1" applyAlignment="1">
      <alignment horizontal="right"/>
    </xf>
    <xf numFmtId="0" fontId="0" fillId="0" borderId="70" xfId="0" applyBorder="1" applyAlignment="1">
      <alignment horizontal="center"/>
    </xf>
    <xf numFmtId="0" fontId="3" fillId="15" borderId="76" xfId="0" applyFont="1" applyFill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4" fontId="0" fillId="0" borderId="57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9" xfId="0" applyBorder="1" applyAlignment="1">
      <alignment horizontal="center"/>
    </xf>
    <xf numFmtId="0" fontId="32" fillId="0" borderId="0" xfId="0" applyFont="1"/>
    <xf numFmtId="193" fontId="32" fillId="0" borderId="0" xfId="0" applyNumberFormat="1" applyFont="1" applyAlignment="1">
      <alignment horizontal="right"/>
    </xf>
    <xf numFmtId="0" fontId="32" fillId="0" borderId="0" xfId="0" applyFont="1" applyAlignment="1">
      <alignment horizontal="left"/>
    </xf>
    <xf numFmtId="0" fontId="30" fillId="0" borderId="0" xfId="0" applyFont="1"/>
    <xf numFmtId="3" fontId="0" fillId="0" borderId="0" xfId="0" applyNumberFormat="1" applyFill="1"/>
    <xf numFmtId="4" fontId="0" fillId="0" borderId="0" xfId="0" applyNumberFormat="1" applyFill="1"/>
    <xf numFmtId="4" fontId="45" fillId="0" borderId="0" xfId="0" applyNumberFormat="1" applyFont="1" applyFill="1" applyBorder="1"/>
    <xf numFmtId="4" fontId="0" fillId="0" borderId="0" xfId="0" applyNumberFormat="1" applyAlignment="1">
      <alignment horizontal="center"/>
    </xf>
    <xf numFmtId="190" fontId="33" fillId="0" borderId="0" xfId="0" applyNumberFormat="1" applyFont="1" applyFill="1" applyBorder="1"/>
    <xf numFmtId="3" fontId="3" fillId="0" borderId="58" xfId="0" applyNumberFormat="1" applyFont="1" applyFill="1" applyBorder="1" applyAlignment="1">
      <alignment horizontal="center"/>
    </xf>
    <xf numFmtId="3" fontId="3" fillId="0" borderId="58" xfId="0" applyNumberFormat="1" applyFont="1" applyFill="1" applyBorder="1"/>
    <xf numFmtId="4" fontId="45" fillId="0" borderId="58" xfId="0" applyNumberFormat="1" applyFont="1" applyFill="1" applyBorder="1"/>
    <xf numFmtId="4" fontId="3" fillId="0" borderId="58" xfId="0" applyNumberFormat="1" applyFont="1" applyFill="1" applyBorder="1" applyAlignment="1">
      <alignment horizontal="right"/>
    </xf>
    <xf numFmtId="0" fontId="0" fillId="0" borderId="0" xfId="0" applyFill="1" applyBorder="1"/>
    <xf numFmtId="43" fontId="3" fillId="32" borderId="74" xfId="0" applyNumberFormat="1" applyFont="1" applyFill="1" applyBorder="1"/>
    <xf numFmtId="4" fontId="45" fillId="32" borderId="66" xfId="0" applyNumberFormat="1" applyFont="1" applyFill="1" applyBorder="1"/>
    <xf numFmtId="4" fontId="3" fillId="32" borderId="71" xfId="0" applyNumberFormat="1" applyFont="1" applyFill="1" applyBorder="1"/>
    <xf numFmtId="0" fontId="44" fillId="31" borderId="69" xfId="0" applyFont="1" applyFill="1" applyBorder="1" applyAlignment="1">
      <alignment horizontal="left"/>
    </xf>
    <xf numFmtId="0" fontId="44" fillId="31" borderId="15" xfId="0" applyFont="1" applyFill="1" applyBorder="1" applyAlignment="1">
      <alignment horizontal="right"/>
    </xf>
    <xf numFmtId="0" fontId="44" fillId="31" borderId="15" xfId="0" applyFont="1" applyFill="1" applyBorder="1" applyAlignment="1">
      <alignment horizontal="left"/>
    </xf>
    <xf numFmtId="43" fontId="42" fillId="31" borderId="15" xfId="0" applyNumberFormat="1" applyFont="1" applyFill="1" applyBorder="1"/>
    <xf numFmtId="43" fontId="42" fillId="31" borderId="15" xfId="0" applyNumberFormat="1" applyFont="1" applyFill="1" applyBorder="1" applyAlignment="1">
      <alignment horizontal="right"/>
    </xf>
    <xf numFmtId="43" fontId="42" fillId="31" borderId="15" xfId="0" applyNumberFormat="1" applyFont="1" applyFill="1" applyBorder="1" applyAlignment="1">
      <alignment horizontal="left"/>
    </xf>
    <xf numFmtId="193" fontId="41" fillId="31" borderId="15" xfId="0" applyNumberFormat="1" applyFont="1" applyFill="1" applyBorder="1" applyAlignment="1">
      <alignment horizontal="center"/>
    </xf>
    <xf numFmtId="4" fontId="3" fillId="4" borderId="20" xfId="0" applyNumberFormat="1" applyFont="1" applyFill="1" applyBorder="1"/>
    <xf numFmtId="0" fontId="0" fillId="0" borderId="28" xfId="0" applyBorder="1" applyAlignment="1">
      <alignment horizontal="left"/>
    </xf>
    <xf numFmtId="0" fontId="0" fillId="0" borderId="11" xfId="0" applyFill="1" applyBorder="1" applyAlignment="1">
      <alignment horizontal="right"/>
    </xf>
    <xf numFmtId="0" fontId="38" fillId="0" borderId="28" xfId="0" applyFont="1" applyBorder="1" applyAlignment="1">
      <alignment horizontal="left"/>
    </xf>
    <xf numFmtId="43" fontId="36" fillId="30" borderId="8" xfId="0" applyNumberFormat="1" applyFont="1" applyFill="1" applyBorder="1"/>
    <xf numFmtId="43" fontId="36" fillId="30" borderId="8" xfId="0" applyNumberFormat="1" applyFont="1" applyFill="1" applyBorder="1" applyAlignment="1">
      <alignment horizontal="right"/>
    </xf>
    <xf numFmtId="43" fontId="36" fillId="30" borderId="8" xfId="0" applyNumberFormat="1" applyFont="1" applyFill="1" applyBorder="1" applyAlignment="1">
      <alignment horizontal="left"/>
    </xf>
    <xf numFmtId="195" fontId="36" fillId="0" borderId="32" xfId="0" applyNumberFormat="1" applyFont="1" applyFill="1" applyBorder="1" applyAlignment="1">
      <alignment horizontal="right"/>
    </xf>
    <xf numFmtId="190" fontId="33" fillId="12" borderId="8" xfId="0" applyNumberFormat="1" applyFont="1" applyFill="1" applyBorder="1"/>
    <xf numFmtId="43" fontId="5" fillId="12" borderId="68" xfId="0" applyNumberFormat="1" applyFont="1" applyFill="1" applyBorder="1"/>
    <xf numFmtId="43" fontId="0" fillId="12" borderId="3" xfId="0" applyNumberFormat="1" applyFill="1" applyBorder="1" applyAlignment="1">
      <alignment horizontal="right"/>
    </xf>
    <xf numFmtId="0" fontId="2" fillId="4" borderId="19" xfId="0" applyFont="1" applyFill="1" applyBorder="1" applyAlignment="1">
      <alignment horizontal="left"/>
    </xf>
    <xf numFmtId="0" fontId="2" fillId="4" borderId="66" xfId="0" applyFont="1" applyFill="1" applyBorder="1"/>
    <xf numFmtId="0" fontId="0" fillId="4" borderId="12" xfId="0" applyFill="1" applyBorder="1" applyAlignment="1">
      <alignment horizontal="left"/>
    </xf>
    <xf numFmtId="0" fontId="0" fillId="4" borderId="5" xfId="0" applyFill="1" applyBorder="1" applyAlignment="1">
      <alignment horizontal="right"/>
    </xf>
    <xf numFmtId="0" fontId="2" fillId="0" borderId="63" xfId="0" applyFont="1" applyFill="1" applyBorder="1" applyAlignment="1">
      <alignment horizontal="left"/>
    </xf>
    <xf numFmtId="0" fontId="38" fillId="0" borderId="65" xfId="0" applyFont="1" applyBorder="1" applyAlignment="1">
      <alignment horizontal="left"/>
    </xf>
    <xf numFmtId="195" fontId="0" fillId="4" borderId="8" xfId="0" applyNumberFormat="1" applyFill="1" applyBorder="1" applyAlignment="1">
      <alignment horizontal="right"/>
    </xf>
    <xf numFmtId="0" fontId="20" fillId="4" borderId="32" xfId="0" applyFont="1" applyFill="1" applyBorder="1" applyAlignment="1">
      <alignment horizontal="center"/>
    </xf>
    <xf numFmtId="17" fontId="2" fillId="4" borderId="7" xfId="0" quotePrefix="1" applyNumberFormat="1" applyFont="1" applyFill="1" applyBorder="1" applyAlignment="1">
      <alignment horizontal="left"/>
    </xf>
    <xf numFmtId="4" fontId="5" fillId="12" borderId="63" xfId="0" applyNumberFormat="1" applyFont="1" applyFill="1" applyBorder="1" applyAlignment="1">
      <alignment horizontal="center"/>
    </xf>
    <xf numFmtId="43" fontId="5" fillId="12" borderId="4" xfId="0" applyNumberFormat="1" applyFont="1" applyFill="1" applyBorder="1" applyAlignment="1">
      <alignment horizontal="right"/>
    </xf>
    <xf numFmtId="0" fontId="38" fillId="0" borderId="64" xfId="0" applyFont="1" applyBorder="1" applyAlignment="1">
      <alignment horizontal="left"/>
    </xf>
    <xf numFmtId="195" fontId="38" fillId="0" borderId="32" xfId="0" applyNumberFormat="1" applyFont="1" applyFill="1" applyBorder="1" applyAlignment="1">
      <alignment horizontal="right"/>
    </xf>
    <xf numFmtId="4" fontId="5" fillId="12" borderId="64" xfId="0" applyNumberFormat="1" applyFont="1" applyFill="1" applyBorder="1" applyAlignment="1">
      <alignment horizontal="center"/>
    </xf>
    <xf numFmtId="190" fontId="5" fillId="12" borderId="3" xfId="0" applyNumberFormat="1" applyFont="1" applyFill="1" applyBorder="1"/>
    <xf numFmtId="0" fontId="38" fillId="0" borderId="0" xfId="0" applyFont="1" applyFill="1" applyBorder="1" applyAlignment="1">
      <alignment horizontal="left"/>
    </xf>
    <xf numFmtId="43" fontId="36" fillId="0" borderId="0" xfId="0" applyNumberFormat="1" applyFont="1" applyFill="1" applyBorder="1"/>
    <xf numFmtId="195" fontId="20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43" fontId="5" fillId="0" borderId="0" xfId="0" applyNumberFormat="1" applyFont="1" applyFill="1" applyBorder="1"/>
    <xf numFmtId="3" fontId="5" fillId="0" borderId="0" xfId="0" applyNumberFormat="1" applyFont="1" applyFill="1" applyBorder="1"/>
    <xf numFmtId="190" fontId="5" fillId="0" borderId="0" xfId="0" applyNumberFormat="1" applyFont="1" applyFill="1" applyBorder="1"/>
    <xf numFmtId="43" fontId="39" fillId="0" borderId="0" xfId="0" applyNumberFormat="1" applyFont="1" applyFill="1" applyBorder="1"/>
    <xf numFmtId="43" fontId="5" fillId="0" borderId="0" xfId="0" applyNumberFormat="1" applyFont="1" applyFill="1" applyBorder="1" applyAlignment="1">
      <alignment horizontal="right"/>
    </xf>
    <xf numFmtId="43" fontId="0" fillId="0" borderId="0" xfId="0" applyNumberForma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8" xfId="0" applyBorder="1"/>
    <xf numFmtId="195" fontId="0" fillId="4" borderId="4" xfId="0" applyNumberFormat="1" applyFill="1" applyBorder="1" applyAlignment="1">
      <alignment horizontal="right"/>
    </xf>
    <xf numFmtId="0" fontId="34" fillId="15" borderId="4" xfId="0" applyFont="1" applyFill="1" applyBorder="1" applyAlignment="1">
      <alignment horizontal="left"/>
    </xf>
    <xf numFmtId="9" fontId="2" fillId="15" borderId="12" xfId="0" applyNumberFormat="1" applyFont="1" applyFill="1" applyBorder="1" applyAlignment="1">
      <alignment horizontal="right"/>
    </xf>
    <xf numFmtId="9" fontId="2" fillId="15" borderId="10" xfId="0" applyNumberFormat="1" applyFont="1" applyFill="1" applyBorder="1" applyAlignment="1">
      <alignment horizontal="left"/>
    </xf>
    <xf numFmtId="9" fontId="2" fillId="15" borderId="8" xfId="0" applyNumberFormat="1" applyFont="1" applyFill="1" applyBorder="1" applyAlignment="1">
      <alignment horizontal="center"/>
    </xf>
    <xf numFmtId="0" fontId="33" fillId="25" borderId="11" xfId="0" applyFont="1" applyFill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19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right"/>
    </xf>
    <xf numFmtId="0" fontId="0" fillId="0" borderId="29" xfId="0" applyBorder="1" applyAlignment="1">
      <alignment horizontal="center"/>
    </xf>
    <xf numFmtId="0" fontId="3" fillId="15" borderId="61" xfId="0" applyFont="1" applyFill="1" applyBorder="1" applyAlignment="1">
      <alignment horizontal="center"/>
    </xf>
    <xf numFmtId="4" fontId="2" fillId="0" borderId="53" xfId="0" applyNumberFormat="1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38" fillId="0" borderId="63" xfId="0" applyFont="1" applyBorder="1" applyAlignment="1">
      <alignment horizontal="left"/>
    </xf>
    <xf numFmtId="198" fontId="5" fillId="14" borderId="39" xfId="3" applyNumberFormat="1" applyFont="1" applyFill="1" applyBorder="1"/>
    <xf numFmtId="3" fontId="2" fillId="14" borderId="43" xfId="3" applyNumberFormat="1" applyFont="1" applyFill="1" applyBorder="1" applyAlignment="1">
      <alignment horizontal="center"/>
    </xf>
    <xf numFmtId="43" fontId="2" fillId="14" borderId="3" xfId="3" applyFont="1" applyFill="1" applyBorder="1" applyAlignment="1">
      <alignment horizontal="center"/>
    </xf>
    <xf numFmtId="198" fontId="5" fillId="14" borderId="27" xfId="3" applyNumberFormat="1" applyFont="1" applyFill="1" applyBorder="1"/>
    <xf numFmtId="3" fontId="2" fillId="14" borderId="10" xfId="3" applyNumberFormat="1" applyFont="1" applyFill="1" applyBorder="1" applyAlignment="1">
      <alignment horizontal="center"/>
    </xf>
    <xf numFmtId="43" fontId="2" fillId="14" borderId="8" xfId="3" applyFont="1" applyFill="1" applyBorder="1" applyAlignment="1">
      <alignment horizontal="center"/>
    </xf>
    <xf numFmtId="198" fontId="5" fillId="14" borderId="31" xfId="3" applyNumberFormat="1" applyFont="1" applyFill="1" applyBorder="1"/>
    <xf numFmtId="3" fontId="2" fillId="14" borderId="16" xfId="3" applyNumberFormat="1" applyFont="1" applyFill="1" applyBorder="1" applyAlignment="1">
      <alignment horizontal="center"/>
    </xf>
    <xf numFmtId="43" fontId="2" fillId="14" borderId="9" xfId="3" applyFont="1" applyFill="1" applyBorder="1" applyAlignment="1">
      <alignment horizontal="center"/>
    </xf>
    <xf numFmtId="190" fontId="38" fillId="29" borderId="8" xfId="0" applyNumberFormat="1" applyFont="1" applyFill="1" applyBorder="1" applyAlignment="1">
      <alignment vertical="center"/>
    </xf>
    <xf numFmtId="188" fontId="3" fillId="21" borderId="0" xfId="0" applyNumberFormat="1" applyFont="1" applyFill="1" applyAlignment="1"/>
    <xf numFmtId="190" fontId="3" fillId="39" borderId="8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193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4" fontId="33" fillId="0" borderId="0" xfId="0" applyNumberFormat="1" applyFont="1" applyAlignment="1">
      <alignment vertical="center"/>
    </xf>
    <xf numFmtId="4" fontId="0" fillId="0" borderId="0" xfId="0" applyNumberFormat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43" fontId="0" fillId="0" borderId="0" xfId="3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3" fontId="33" fillId="0" borderId="0" xfId="0" applyNumberFormat="1" applyFont="1" applyAlignment="1">
      <alignment horizontal="center"/>
    </xf>
    <xf numFmtId="43" fontId="0" fillId="0" borderId="0" xfId="3" applyFont="1"/>
    <xf numFmtId="0" fontId="5" fillId="0" borderId="59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4" fontId="3" fillId="0" borderId="59" xfId="0" applyNumberFormat="1" applyFont="1" applyBorder="1" applyAlignment="1">
      <alignment horizontal="center"/>
    </xf>
    <xf numFmtId="43" fontId="0" fillId="0" borderId="58" xfId="3" applyFont="1" applyBorder="1" applyAlignment="1">
      <alignment horizontal="center"/>
    </xf>
    <xf numFmtId="193" fontId="3" fillId="15" borderId="59" xfId="0" applyNumberFormat="1" applyFont="1" applyFill="1" applyBorder="1" applyAlignment="1">
      <alignment horizontal="center"/>
    </xf>
    <xf numFmtId="43" fontId="3" fillId="15" borderId="61" xfId="0" applyNumberFormat="1" applyFont="1" applyFill="1" applyBorder="1" applyAlignment="1">
      <alignment horizontal="center"/>
    </xf>
    <xf numFmtId="0" fontId="3" fillId="15" borderId="23" xfId="0" applyFont="1" applyFill="1" applyBorder="1" applyAlignment="1">
      <alignment horizontal="center"/>
    </xf>
    <xf numFmtId="0" fontId="3" fillId="0" borderId="30" xfId="0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193" fontId="3" fillId="0" borderId="8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62" xfId="0" applyNumberFormat="1" applyFont="1" applyBorder="1" applyAlignment="1">
      <alignment horizontal="center"/>
    </xf>
    <xf numFmtId="193" fontId="3" fillId="15" borderId="62" xfId="0" applyNumberFormat="1" applyFont="1" applyFill="1" applyBorder="1" applyAlignment="1">
      <alignment horizontal="center"/>
    </xf>
    <xf numFmtId="9" fontId="2" fillId="15" borderId="10" xfId="0" applyNumberFormat="1" applyFont="1" applyFill="1" applyBorder="1" applyAlignment="1">
      <alignment horizontal="center"/>
    </xf>
    <xf numFmtId="9" fontId="2" fillId="15" borderId="12" xfId="0" applyNumberFormat="1" applyFont="1" applyFill="1" applyBorder="1" applyAlignment="1">
      <alignment horizontal="center"/>
    </xf>
    <xf numFmtId="43" fontId="3" fillId="15" borderId="4" xfId="0" applyNumberFormat="1" applyFont="1" applyFill="1" applyBorder="1" applyAlignment="1">
      <alignment horizontal="center"/>
    </xf>
    <xf numFmtId="0" fontId="34" fillId="15" borderId="5" xfId="0" applyFont="1" applyFill="1" applyBorder="1" applyAlignment="1">
      <alignment horizontal="left"/>
    </xf>
    <xf numFmtId="0" fontId="0" fillId="8" borderId="62" xfId="0" applyFill="1" applyBorder="1" applyAlignment="1">
      <alignment horizontal="center"/>
    </xf>
    <xf numFmtId="0" fontId="2" fillId="8" borderId="5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left"/>
    </xf>
    <xf numFmtId="195" fontId="0" fillId="8" borderId="4" xfId="0" applyNumberFormat="1" applyFill="1" applyBorder="1" applyAlignment="1">
      <alignment horizontal="right"/>
    </xf>
    <xf numFmtId="0" fontId="2" fillId="8" borderId="8" xfId="0" applyFont="1" applyFill="1" applyBorder="1"/>
    <xf numFmtId="0" fontId="2" fillId="8" borderId="5" xfId="0" applyFont="1" applyFill="1" applyBorder="1"/>
    <xf numFmtId="0" fontId="2" fillId="8" borderId="63" xfId="0" applyFont="1" applyFill="1" applyBorder="1"/>
    <xf numFmtId="43" fontId="0" fillId="8" borderId="62" xfId="0" applyNumberFormat="1" applyFill="1" applyBorder="1"/>
    <xf numFmtId="43" fontId="0" fillId="8" borderId="4" xfId="0" applyNumberFormat="1" applyFill="1" applyBorder="1"/>
    <xf numFmtId="43" fontId="0" fillId="8" borderId="5" xfId="0" applyNumberFormat="1" applyFill="1" applyBorder="1"/>
    <xf numFmtId="195" fontId="20" fillId="0" borderId="84" xfId="0" applyNumberFormat="1" applyFont="1" applyFill="1" applyBorder="1" applyAlignment="1">
      <alignment horizontal="right"/>
    </xf>
    <xf numFmtId="43" fontId="2" fillId="14" borderId="3" xfId="0" applyNumberFormat="1" applyFont="1" applyFill="1" applyBorder="1"/>
    <xf numFmtId="43" fontId="2" fillId="14" borderId="86" xfId="0" applyNumberFormat="1" applyFont="1" applyFill="1" applyBorder="1"/>
    <xf numFmtId="190" fontId="2" fillId="14" borderId="3" xfId="0" applyNumberFormat="1" applyFont="1" applyFill="1" applyBorder="1" applyAlignment="1">
      <alignment horizontal="right" vertical="center"/>
    </xf>
    <xf numFmtId="190" fontId="2" fillId="14" borderId="3" xfId="0" applyNumberFormat="1" applyFont="1" applyFill="1" applyBorder="1"/>
    <xf numFmtId="43" fontId="2" fillId="14" borderId="64" xfId="0" applyNumberFormat="1" applyFont="1" applyFill="1" applyBorder="1"/>
    <xf numFmtId="195" fontId="35" fillId="0" borderId="84" xfId="0" applyNumberFormat="1" applyFont="1" applyFill="1" applyBorder="1" applyAlignment="1">
      <alignment horizontal="right"/>
    </xf>
    <xf numFmtId="43" fontId="37" fillId="30" borderId="8" xfId="0" applyNumberFormat="1" applyFont="1" applyFill="1" applyBorder="1"/>
    <xf numFmtId="0" fontId="35" fillId="0" borderId="64" xfId="0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8" borderId="32" xfId="0" applyFill="1" applyBorder="1" applyAlignment="1">
      <alignment horizontal="center"/>
    </xf>
    <xf numFmtId="195" fontId="0" fillId="35" borderId="4" xfId="0" applyNumberFormat="1" applyFill="1" applyBorder="1" applyAlignment="1">
      <alignment horizontal="right"/>
    </xf>
    <xf numFmtId="0" fontId="2" fillId="35" borderId="5" xfId="0" applyFont="1" applyFill="1" applyBorder="1"/>
    <xf numFmtId="43" fontId="0" fillId="8" borderId="8" xfId="0" applyNumberFormat="1" applyFill="1" applyBorder="1"/>
    <xf numFmtId="43" fontId="0" fillId="8" borderId="10" xfId="0" applyNumberFormat="1" applyFill="1" applyBorder="1"/>
    <xf numFmtId="43" fontId="2" fillId="14" borderId="9" xfId="0" applyNumberFormat="1" applyFont="1" applyFill="1" applyBorder="1"/>
    <xf numFmtId="43" fontId="2" fillId="14" borderId="88" xfId="0" applyNumberFormat="1" applyFont="1" applyFill="1" applyBorder="1"/>
    <xf numFmtId="190" fontId="2" fillId="14" borderId="9" xfId="0" applyNumberFormat="1" applyFont="1" applyFill="1" applyBorder="1" applyAlignment="1">
      <alignment horizontal="right" vertical="center"/>
    </xf>
    <xf numFmtId="190" fontId="2" fillId="14" borderId="9" xfId="0" applyNumberFormat="1" applyFont="1" applyFill="1" applyBorder="1"/>
    <xf numFmtId="43" fontId="2" fillId="14" borderId="65" xfId="0" applyNumberFormat="1" applyFont="1" applyFill="1" applyBorder="1"/>
    <xf numFmtId="0" fontId="0" fillId="0" borderId="30" xfId="0" applyBorder="1" applyAlignment="1">
      <alignment horizontal="right"/>
    </xf>
    <xf numFmtId="0" fontId="2" fillId="35" borderId="28" xfId="0" applyFont="1" applyFill="1" applyBorder="1"/>
    <xf numFmtId="43" fontId="2" fillId="8" borderId="62" xfId="0" applyNumberFormat="1" applyFont="1" applyFill="1" applyBorder="1"/>
    <xf numFmtId="43" fontId="2" fillId="14" borderId="8" xfId="0" applyNumberFormat="1" applyFont="1" applyFill="1" applyBorder="1"/>
    <xf numFmtId="43" fontId="2" fillId="14" borderId="90" xfId="0" applyNumberFormat="1" applyFont="1" applyFill="1" applyBorder="1"/>
    <xf numFmtId="190" fontId="2" fillId="14" borderId="8" xfId="0" applyNumberFormat="1" applyFont="1" applyFill="1" applyBorder="1" applyAlignment="1">
      <alignment horizontal="right" vertical="center"/>
    </xf>
    <xf numFmtId="190" fontId="2" fillId="14" borderId="8" xfId="0" applyNumberFormat="1" applyFont="1" applyFill="1" applyBorder="1"/>
    <xf numFmtId="43" fontId="2" fillId="14" borderId="28" xfId="0" applyNumberFormat="1" applyFont="1" applyFill="1" applyBorder="1"/>
    <xf numFmtId="0" fontId="2" fillId="0" borderId="26" xfId="0" applyFont="1" applyFill="1" applyBorder="1" applyAlignment="1">
      <alignment horizontal="left"/>
    </xf>
    <xf numFmtId="0" fontId="2" fillId="35" borderId="8" xfId="0" applyFont="1" applyFill="1" applyBorder="1"/>
    <xf numFmtId="17" fontId="2" fillId="8" borderId="28" xfId="0" quotePrefix="1" applyNumberFormat="1" applyFont="1" applyFill="1" applyBorder="1"/>
    <xf numFmtId="195" fontId="38" fillId="0" borderId="84" xfId="0" applyNumberFormat="1" applyFont="1" applyFill="1" applyBorder="1" applyAlignment="1">
      <alignment horizontal="right"/>
    </xf>
    <xf numFmtId="0" fontId="36" fillId="30" borderId="8" xfId="0" applyNumberFormat="1" applyFont="1" applyFill="1" applyBorder="1"/>
    <xf numFmtId="0" fontId="36" fillId="30" borderId="8" xfId="0" applyNumberFormat="1" applyFont="1" applyFill="1" applyBorder="1" applyAlignment="1">
      <alignment horizontal="right"/>
    </xf>
    <xf numFmtId="0" fontId="0" fillId="0" borderId="26" xfId="0" applyBorder="1" applyAlignment="1">
      <alignment horizontal="left"/>
    </xf>
    <xf numFmtId="43" fontId="20" fillId="14" borderId="87" xfId="0" applyNumberFormat="1" applyFont="1" applyFill="1" applyBorder="1"/>
    <xf numFmtId="43" fontId="20" fillId="14" borderId="85" xfId="0" applyNumberFormat="1" applyFont="1" applyFill="1" applyBorder="1"/>
    <xf numFmtId="0" fontId="20" fillId="8" borderId="62" xfId="0" applyFont="1" applyFill="1" applyBorder="1" applyAlignment="1">
      <alignment horizontal="center"/>
    </xf>
    <xf numFmtId="0" fontId="20" fillId="8" borderId="5" xfId="0" applyFont="1" applyFill="1" applyBorder="1" applyAlignment="1">
      <alignment horizontal="right"/>
    </xf>
    <xf numFmtId="0" fontId="20" fillId="8" borderId="7" xfId="0" applyFont="1" applyFill="1" applyBorder="1" applyAlignment="1">
      <alignment horizontal="left"/>
    </xf>
    <xf numFmtId="195" fontId="20" fillId="8" borderId="4" xfId="0" applyNumberFormat="1" applyFont="1" applyFill="1" applyBorder="1" applyAlignment="1">
      <alignment horizontal="right"/>
    </xf>
    <xf numFmtId="0" fontId="20" fillId="8" borderId="8" xfId="0" applyFont="1" applyFill="1" applyBorder="1"/>
    <xf numFmtId="0" fontId="2" fillId="35" borderId="63" xfId="0" applyFont="1" applyFill="1" applyBorder="1"/>
    <xf numFmtId="43" fontId="2" fillId="8" borderId="8" xfId="0" applyNumberFormat="1" applyFont="1" applyFill="1" applyBorder="1"/>
    <xf numFmtId="43" fontId="2" fillId="8" borderId="10" xfId="0" applyNumberFormat="1" applyFont="1" applyFill="1" applyBorder="1"/>
    <xf numFmtId="0" fontId="21" fillId="0" borderId="63" xfId="0" applyFont="1" applyBorder="1" applyAlignment="1">
      <alignment horizontal="left"/>
    </xf>
    <xf numFmtId="0" fontId="20" fillId="0" borderId="30" xfId="0" applyFont="1" applyBorder="1" applyAlignment="1">
      <alignment horizontal="right"/>
    </xf>
    <xf numFmtId="0" fontId="0" fillId="0" borderId="35" xfId="0" applyBorder="1" applyAlignment="1">
      <alignment horizontal="left"/>
    </xf>
    <xf numFmtId="3" fontId="3" fillId="8" borderId="24" xfId="0" applyNumberFormat="1" applyFont="1" applyFill="1" applyBorder="1"/>
    <xf numFmtId="4" fontId="3" fillId="8" borderId="20" xfId="0" applyNumberFormat="1" applyFont="1" applyFill="1" applyBorder="1"/>
    <xf numFmtId="4" fontId="3" fillId="8" borderId="17" xfId="0" applyNumberFormat="1" applyFont="1" applyFill="1" applyBorder="1"/>
    <xf numFmtId="43" fontId="42" fillId="31" borderId="55" xfId="0" applyNumberFormat="1" applyFont="1" applyFill="1" applyBorder="1" applyAlignment="1">
      <alignment horizontal="right" vertical="center"/>
    </xf>
    <xf numFmtId="3" fontId="59" fillId="31" borderId="55" xfId="0" applyNumberFormat="1" applyFont="1" applyFill="1" applyBorder="1" applyAlignment="1">
      <alignment horizontal="left"/>
    </xf>
    <xf numFmtId="0" fontId="44" fillId="31" borderId="56" xfId="0" applyFont="1" applyFill="1" applyBorder="1" applyAlignment="1">
      <alignment horizontal="right"/>
    </xf>
    <xf numFmtId="43" fontId="44" fillId="31" borderId="58" xfId="3" applyFont="1" applyFill="1" applyBorder="1" applyAlignment="1">
      <alignment horizontal="right"/>
    </xf>
    <xf numFmtId="3" fontId="3" fillId="32" borderId="79" xfId="0" applyNumberFormat="1" applyFont="1" applyFill="1" applyBorder="1"/>
    <xf numFmtId="3" fontId="3" fillId="32" borderId="66" xfId="0" applyNumberFormat="1" applyFont="1" applyFill="1" applyBorder="1" applyAlignment="1">
      <alignment horizontal="right" vertical="center"/>
    </xf>
    <xf numFmtId="43" fontId="3" fillId="32" borderId="50" xfId="0" applyNumberFormat="1" applyFont="1" applyFill="1" applyBorder="1"/>
    <xf numFmtId="43" fontId="2" fillId="0" borderId="58" xfId="0" applyNumberFormat="1" applyFont="1" applyFill="1" applyBorder="1"/>
    <xf numFmtId="190" fontId="2" fillId="0" borderId="58" xfId="0" applyNumberFormat="1" applyFont="1" applyFill="1" applyBorder="1" applyAlignment="1">
      <alignment horizontal="right" vertical="center"/>
    </xf>
    <xf numFmtId="190" fontId="2" fillId="0" borderId="58" xfId="0" applyNumberFormat="1" applyFont="1" applyFill="1" applyBorder="1"/>
    <xf numFmtId="190" fontId="2" fillId="0" borderId="0" xfId="0" applyNumberFormat="1" applyFont="1" applyFill="1" applyBorder="1" applyAlignment="1">
      <alignment horizontal="right" vertical="center"/>
    </xf>
    <xf numFmtId="190" fontId="2" fillId="0" borderId="0" xfId="0" applyNumberFormat="1" applyFont="1" applyFill="1" applyBorder="1"/>
    <xf numFmtId="4" fontId="33" fillId="0" borderId="0" xfId="0" applyNumberFormat="1" applyFont="1" applyFill="1" applyBorder="1"/>
    <xf numFmtId="4" fontId="0" fillId="0" borderId="0" xfId="0" applyNumberForma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43" fontId="0" fillId="0" borderId="0" xfId="3" applyFont="1" applyFill="1" applyBorder="1"/>
    <xf numFmtId="0" fontId="0" fillId="0" borderId="0" xfId="0" applyFill="1" applyAlignment="1">
      <alignment horizontal="center"/>
    </xf>
    <xf numFmtId="3" fontId="46" fillId="0" borderId="0" xfId="0" applyNumberFormat="1" applyFont="1" applyFill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3" fontId="46" fillId="0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right"/>
    </xf>
    <xf numFmtId="4" fontId="33" fillId="0" borderId="0" xfId="0" applyNumberFormat="1" applyFont="1" applyFill="1"/>
    <xf numFmtId="4" fontId="0" fillId="0" borderId="0" xfId="0" applyNumberFormat="1" applyFill="1" applyAlignment="1">
      <alignment horizontal="center"/>
    </xf>
    <xf numFmtId="3" fontId="33" fillId="0" borderId="0" xfId="0" applyNumberFormat="1" applyFont="1" applyFill="1" applyAlignment="1">
      <alignment horizontal="center"/>
    </xf>
    <xf numFmtId="43" fontId="0" fillId="0" borderId="0" xfId="3" applyFont="1" applyFill="1"/>
    <xf numFmtId="0" fontId="0" fillId="0" borderId="22" xfId="0" applyBorder="1" applyAlignment="1">
      <alignment horizontal="center"/>
    </xf>
    <xf numFmtId="0" fontId="0" fillId="0" borderId="78" xfId="0" applyBorder="1" applyAlignment="1">
      <alignment horizontal="center"/>
    </xf>
    <xf numFmtId="9" fontId="2" fillId="15" borderId="77" xfId="0" applyNumberFormat="1" applyFont="1" applyFill="1" applyBorder="1" applyAlignment="1">
      <alignment horizontal="center"/>
    </xf>
    <xf numFmtId="9" fontId="2" fillId="15" borderId="78" xfId="0" applyNumberFormat="1" applyFont="1" applyFill="1" applyBorder="1" applyAlignment="1">
      <alignment horizontal="center"/>
    </xf>
    <xf numFmtId="0" fontId="2" fillId="8" borderId="54" xfId="0" applyFont="1" applyFill="1" applyBorder="1" applyAlignment="1">
      <alignment horizontal="right"/>
    </xf>
    <xf numFmtId="0" fontId="2" fillId="8" borderId="22" xfId="0" applyFont="1" applyFill="1" applyBorder="1" applyAlignment="1">
      <alignment horizontal="left"/>
    </xf>
    <xf numFmtId="195" fontId="0" fillId="8" borderId="8" xfId="0" applyNumberFormat="1" applyFill="1" applyBorder="1" applyAlignment="1">
      <alignment horizontal="right"/>
    </xf>
    <xf numFmtId="0" fontId="2" fillId="8" borderId="72" xfId="0" applyFont="1" applyFill="1" applyBorder="1" applyAlignment="1">
      <alignment horizontal="center"/>
    </xf>
    <xf numFmtId="0" fontId="2" fillId="8" borderId="77" xfId="0" applyFont="1" applyFill="1" applyBorder="1" applyAlignment="1">
      <alignment horizontal="right"/>
    </xf>
    <xf numFmtId="0" fontId="2" fillId="8" borderId="78" xfId="0" applyFont="1" applyFill="1" applyBorder="1" applyAlignment="1">
      <alignment horizontal="left"/>
    </xf>
    <xf numFmtId="195" fontId="2" fillId="8" borderId="66" xfId="0" applyNumberFormat="1" applyFont="1" applyFill="1" applyBorder="1" applyAlignment="1">
      <alignment horizontal="right"/>
    </xf>
    <xf numFmtId="0" fontId="2" fillId="8" borderId="66" xfId="0" applyFont="1" applyFill="1" applyBorder="1"/>
    <xf numFmtId="0" fontId="15" fillId="8" borderId="66" xfId="0" applyFont="1" applyFill="1" applyBorder="1"/>
    <xf numFmtId="0" fontId="2" fillId="8" borderId="34" xfId="0" applyFont="1" applyFill="1" applyBorder="1"/>
    <xf numFmtId="43" fontId="0" fillId="8" borderId="72" xfId="0" applyNumberFormat="1" applyFill="1" applyBorder="1"/>
    <xf numFmtId="43" fontId="0" fillId="8" borderId="66" xfId="0" applyNumberFormat="1" applyFill="1" applyBorder="1"/>
    <xf numFmtId="43" fontId="0" fillId="8" borderId="34" xfId="0" applyNumberFormat="1" applyFill="1" applyBorder="1"/>
    <xf numFmtId="43" fontId="0" fillId="14" borderId="8" xfId="0" applyNumberFormat="1" applyFill="1" applyBorder="1"/>
    <xf numFmtId="43" fontId="33" fillId="14" borderId="8" xfId="0" applyNumberFormat="1" applyFont="1" applyFill="1" applyBorder="1"/>
    <xf numFmtId="195" fontId="0" fillId="14" borderId="8" xfId="0" applyNumberFormat="1" applyFill="1" applyBorder="1" applyAlignment="1">
      <alignment horizontal="center"/>
    </xf>
    <xf numFmtId="3" fontId="33" fillId="14" borderId="10" xfId="0" applyNumberFormat="1" applyFont="1" applyFill="1" applyBorder="1" applyAlignment="1">
      <alignment horizontal="center"/>
    </xf>
    <xf numFmtId="43" fontId="0" fillId="14" borderId="28" xfId="0" applyNumberFormat="1" applyFill="1" applyBorder="1"/>
    <xf numFmtId="43" fontId="0" fillId="14" borderId="26" xfId="3" applyFont="1" applyFill="1" applyBorder="1"/>
    <xf numFmtId="43" fontId="60" fillId="30" borderId="8" xfId="0" applyNumberFormat="1" applyFont="1" applyFill="1" applyBorder="1"/>
    <xf numFmtId="43" fontId="2" fillId="30" borderId="8" xfId="0" applyNumberFormat="1" applyFont="1" applyFill="1" applyBorder="1"/>
    <xf numFmtId="0" fontId="61" fillId="0" borderId="34" xfId="0" applyFont="1" applyBorder="1" applyAlignment="1">
      <alignment horizontal="left"/>
    </xf>
    <xf numFmtId="4" fontId="3" fillId="8" borderId="70" xfId="0" applyNumberFormat="1" applyFont="1" applyFill="1" applyBorder="1"/>
    <xf numFmtId="195" fontId="0" fillId="0" borderId="72" xfId="0" applyNumberFormat="1" applyFill="1" applyBorder="1" applyAlignment="1">
      <alignment horizontal="right"/>
    </xf>
    <xf numFmtId="43" fontId="0" fillId="14" borderId="66" xfId="0" applyNumberFormat="1" applyFill="1" applyBorder="1"/>
    <xf numFmtId="43" fontId="33" fillId="14" borderId="66" xfId="0" applyNumberFormat="1" applyFont="1" applyFill="1" applyBorder="1"/>
    <xf numFmtId="195" fontId="0" fillId="14" borderId="66" xfId="0" applyNumberFormat="1" applyFill="1" applyBorder="1" applyAlignment="1">
      <alignment horizontal="center"/>
    </xf>
    <xf numFmtId="3" fontId="33" fillId="14" borderId="77" xfId="0" applyNumberFormat="1" applyFont="1" applyFill="1" applyBorder="1" applyAlignment="1">
      <alignment horizontal="center"/>
    </xf>
    <xf numFmtId="43" fontId="0" fillId="14" borderId="34" xfId="0" applyNumberFormat="1" applyFill="1" applyBorder="1"/>
    <xf numFmtId="43" fontId="0" fillId="14" borderId="35" xfId="3" applyFont="1" applyFill="1" applyBorder="1"/>
    <xf numFmtId="4" fontId="46" fillId="32" borderId="66" xfId="0" applyNumberFormat="1" applyFont="1" applyFill="1" applyBorder="1"/>
    <xf numFmtId="4" fontId="3" fillId="32" borderId="66" xfId="0" applyNumberFormat="1" applyFont="1" applyFill="1" applyBorder="1" applyAlignment="1">
      <alignment horizontal="center"/>
    </xf>
    <xf numFmtId="3" fontId="46" fillId="32" borderId="77" xfId="0" applyNumberFormat="1" applyFont="1" applyFill="1" applyBorder="1" applyAlignment="1">
      <alignment horizontal="center"/>
    </xf>
    <xf numFmtId="4" fontId="3" fillId="32" borderId="34" xfId="0" applyNumberFormat="1" applyFont="1" applyFill="1" applyBorder="1"/>
    <xf numFmtId="43" fontId="3" fillId="32" borderId="0" xfId="0" applyNumberFormat="1" applyFont="1" applyFill="1" applyBorder="1"/>
    <xf numFmtId="195" fontId="20" fillId="0" borderId="32" xfId="0" applyNumberFormat="1" applyFont="1" applyFill="1" applyBorder="1" applyAlignment="1"/>
    <xf numFmtId="43" fontId="2" fillId="12" borderId="67" xfId="0" applyNumberFormat="1" applyFont="1" applyFill="1" applyBorder="1"/>
    <xf numFmtId="0" fontId="35" fillId="0" borderId="63" xfId="0" applyFont="1" applyBorder="1" applyAlignment="1">
      <alignment horizontal="left"/>
    </xf>
    <xf numFmtId="0" fontId="62" fillId="34" borderId="16" xfId="0" applyFont="1" applyFill="1" applyBorder="1" applyAlignment="1">
      <alignment horizontal="right"/>
    </xf>
    <xf numFmtId="0" fontId="62" fillId="4" borderId="2" xfId="0" applyFont="1" applyFill="1" applyBorder="1" applyAlignment="1">
      <alignment horizontal="left"/>
    </xf>
    <xf numFmtId="0" fontId="62" fillId="4" borderId="8" xfId="0" applyFont="1" applyFill="1" applyBorder="1" applyAlignment="1">
      <alignment horizontal="left"/>
    </xf>
    <xf numFmtId="0" fontId="62" fillId="34" borderId="8" xfId="0" applyFont="1" applyFill="1" applyBorder="1" applyAlignment="1">
      <alignment horizontal="center"/>
    </xf>
    <xf numFmtId="43" fontId="62" fillId="4" borderId="62" xfId="0" applyNumberFormat="1" applyFont="1" applyFill="1" applyBorder="1"/>
    <xf numFmtId="43" fontId="62" fillId="4" borderId="4" xfId="0" applyNumberFormat="1" applyFont="1" applyFill="1" applyBorder="1"/>
    <xf numFmtId="43" fontId="62" fillId="4" borderId="5" xfId="0" applyNumberFormat="1" applyFont="1" applyFill="1" applyBorder="1"/>
    <xf numFmtId="195" fontId="63" fillId="0" borderId="32" xfId="0" applyNumberFormat="1" applyFont="1" applyFill="1" applyBorder="1" applyAlignment="1">
      <alignment horizontal="center"/>
    </xf>
    <xf numFmtId="43" fontId="64" fillId="12" borderId="3" xfId="0" applyNumberFormat="1" applyFont="1" applyFill="1" applyBorder="1" applyAlignment="1">
      <alignment horizontal="right"/>
    </xf>
    <xf numFmtId="190" fontId="64" fillId="12" borderId="8" xfId="0" applyNumberFormat="1" applyFont="1" applyFill="1" applyBorder="1"/>
    <xf numFmtId="43" fontId="64" fillId="12" borderId="4" xfId="0" applyNumberFormat="1" applyFont="1" applyFill="1" applyBorder="1"/>
    <xf numFmtId="43" fontId="64" fillId="12" borderId="8" xfId="0" applyNumberFormat="1" applyFont="1" applyFill="1" applyBorder="1"/>
    <xf numFmtId="3" fontId="64" fillId="12" borderId="8" xfId="0" applyNumberFormat="1" applyFont="1" applyFill="1" applyBorder="1"/>
    <xf numFmtId="3" fontId="64" fillId="12" borderId="4" xfId="0" applyNumberFormat="1" applyFont="1" applyFill="1" applyBorder="1"/>
    <xf numFmtId="4" fontId="64" fillId="12" borderId="4" xfId="0" applyNumberFormat="1" applyFont="1" applyFill="1" applyBorder="1" applyAlignment="1">
      <alignment horizontal="center"/>
    </xf>
    <xf numFmtId="43" fontId="62" fillId="30" borderId="4" xfId="0" applyNumberFormat="1" applyFont="1" applyFill="1" applyBorder="1"/>
    <xf numFmtId="0" fontId="20" fillId="4" borderId="66" xfId="0" applyFont="1" applyFill="1" applyBorder="1"/>
    <xf numFmtId="0" fontId="2" fillId="0" borderId="91" xfId="0" applyFont="1" applyBorder="1"/>
    <xf numFmtId="197" fontId="2" fillId="0" borderId="91" xfId="0" applyNumberFormat="1" applyFont="1" applyBorder="1"/>
    <xf numFmtId="190" fontId="0" fillId="40" borderId="13" xfId="3" applyNumberFormat="1" applyFont="1" applyFill="1" applyBorder="1"/>
    <xf numFmtId="43" fontId="0" fillId="40" borderId="13" xfId="3" applyFont="1" applyFill="1" applyBorder="1"/>
    <xf numFmtId="190" fontId="14" fillId="40" borderId="13" xfId="3" applyNumberFormat="1" applyFont="1" applyFill="1" applyBorder="1"/>
    <xf numFmtId="43" fontId="14" fillId="40" borderId="13" xfId="3" applyFont="1" applyFill="1" applyBorder="1"/>
    <xf numFmtId="0" fontId="21" fillId="41" borderId="10" xfId="0" applyFont="1" applyFill="1" applyBorder="1" applyAlignment="1">
      <alignment horizontal="left"/>
    </xf>
    <xf numFmtId="0" fontId="21" fillId="41" borderId="10" xfId="0" applyFont="1" applyFill="1" applyBorder="1"/>
    <xf numFmtId="0" fontId="21" fillId="41" borderId="11" xfId="0" applyFont="1" applyFill="1" applyBorder="1"/>
    <xf numFmtId="1" fontId="21" fillId="41" borderId="12" xfId="0" applyNumberFormat="1" applyFont="1" applyFill="1" applyBorder="1" applyAlignment="1">
      <alignment horizontal="center"/>
    </xf>
    <xf numFmtId="197" fontId="0" fillId="0" borderId="91" xfId="0" applyNumberFormat="1" applyFill="1" applyBorder="1"/>
    <xf numFmtId="197" fontId="0" fillId="0" borderId="0" xfId="0" applyNumberFormat="1" applyFill="1"/>
    <xf numFmtId="197" fontId="2" fillId="0" borderId="0" xfId="0" applyNumberFormat="1" applyFont="1" applyFill="1"/>
    <xf numFmtId="197" fontId="2" fillId="0" borderId="0" xfId="0" applyNumberFormat="1" applyFont="1"/>
    <xf numFmtId="197" fontId="67" fillId="0" borderId="0" xfId="0" applyNumberFormat="1" applyFont="1" applyFill="1" applyBorder="1"/>
    <xf numFmtId="197" fontId="68" fillId="0" borderId="91" xfId="0" applyNumberFormat="1" applyFont="1" applyFill="1" applyBorder="1"/>
    <xf numFmtId="197" fontId="2" fillId="42" borderId="91" xfId="0" applyNumberFormat="1" applyFont="1" applyFill="1" applyBorder="1"/>
    <xf numFmtId="197" fontId="2" fillId="42" borderId="0" xfId="0" applyNumberFormat="1" applyFont="1" applyFill="1"/>
    <xf numFmtId="197" fontId="0" fillId="42" borderId="91" xfId="0" applyNumberFormat="1" applyFill="1" applyBorder="1"/>
    <xf numFmtId="190" fontId="0" fillId="0" borderId="13" xfId="3" applyNumberFormat="1" applyFont="1" applyFill="1" applyBorder="1"/>
    <xf numFmtId="43" fontId="0" fillId="0" borderId="13" xfId="3" applyFont="1" applyFill="1" applyBorder="1"/>
    <xf numFmtId="43" fontId="20" fillId="14" borderId="89" xfId="3" applyFont="1" applyFill="1" applyBorder="1"/>
    <xf numFmtId="43" fontId="20" fillId="31" borderId="55" xfId="0" applyNumberFormat="1" applyFont="1" applyFill="1" applyBorder="1"/>
    <xf numFmtId="0" fontId="69" fillId="0" borderId="8" xfId="0" applyNumberFormat="1" applyFont="1" applyFill="1" applyBorder="1"/>
    <xf numFmtId="0" fontId="2" fillId="0" borderId="56" xfId="0" applyFont="1" applyFill="1" applyBorder="1" applyAlignment="1">
      <alignment horizontal="left"/>
    </xf>
    <xf numFmtId="0" fontId="62" fillId="4" borderId="5" xfId="0" applyFont="1" applyFill="1" applyBorder="1" applyAlignment="1">
      <alignment horizontal="right"/>
    </xf>
    <xf numFmtId="0" fontId="62" fillId="4" borderId="7" xfId="0" applyFont="1" applyFill="1" applyBorder="1" applyAlignment="1">
      <alignment horizontal="left"/>
    </xf>
    <xf numFmtId="195" fontId="62" fillId="4" borderId="8" xfId="0" applyNumberFormat="1" applyFont="1" applyFill="1" applyBorder="1" applyAlignment="1">
      <alignment horizontal="right"/>
    </xf>
    <xf numFmtId="195" fontId="62" fillId="0" borderId="32" xfId="0" applyNumberFormat="1" applyFont="1" applyFill="1" applyBorder="1" applyAlignment="1"/>
    <xf numFmtId="0" fontId="63" fillId="0" borderId="65" xfId="0" applyFont="1" applyBorder="1" applyAlignment="1">
      <alignment horizontal="left"/>
    </xf>
    <xf numFmtId="0" fontId="62" fillId="0" borderId="11" xfId="0" applyFont="1" applyFill="1" applyBorder="1" applyAlignment="1">
      <alignment horizontal="right"/>
    </xf>
    <xf numFmtId="0" fontId="2" fillId="0" borderId="57" xfId="0" applyFont="1" applyFill="1" applyBorder="1" applyAlignment="1">
      <alignment horizontal="right"/>
    </xf>
    <xf numFmtId="0" fontId="2" fillId="34" borderId="8" xfId="0" applyFont="1" applyFill="1" applyBorder="1"/>
    <xf numFmtId="0" fontId="35" fillId="0" borderId="0" xfId="0" applyFont="1" applyBorder="1" applyAlignment="1">
      <alignment horizontal="left"/>
    </xf>
    <xf numFmtId="0" fontId="20" fillId="4" borderId="93" xfId="0" applyFont="1" applyFill="1" applyBorder="1" applyAlignment="1">
      <alignment horizontal="center"/>
    </xf>
    <xf numFmtId="43" fontId="2" fillId="0" borderId="13" xfId="3" applyFont="1" applyBorder="1" applyAlignment="1">
      <alignment horizontal="left"/>
    </xf>
    <xf numFmtId="0" fontId="0" fillId="0" borderId="25" xfId="0" applyFill="1" applyBorder="1" applyAlignment="1">
      <alignment horizontal="center"/>
    </xf>
    <xf numFmtId="193" fontId="0" fillId="0" borderId="26" xfId="0" applyNumberFormat="1" applyFill="1" applyBorder="1" applyAlignment="1">
      <alignment horizontal="center"/>
    </xf>
    <xf numFmtId="0" fontId="2" fillId="0" borderId="19" xfId="0" applyFont="1" applyBorder="1"/>
    <xf numFmtId="0" fontId="2" fillId="0" borderId="27" xfId="0" applyFont="1" applyFill="1" applyBorder="1"/>
    <xf numFmtId="0" fontId="0" fillId="0" borderId="28" xfId="0" applyFill="1" applyBorder="1"/>
    <xf numFmtId="0" fontId="0" fillId="0" borderId="27" xfId="0" applyFill="1" applyBorder="1"/>
    <xf numFmtId="0" fontId="0" fillId="0" borderId="29" xfId="0" applyFill="1" applyBorder="1"/>
    <xf numFmtId="0" fontId="15" fillId="0" borderId="29" xfId="0" applyFont="1" applyFill="1" applyBorder="1"/>
    <xf numFmtId="0" fontId="2" fillId="0" borderId="31" xfId="0" applyFont="1" applyFill="1" applyBorder="1"/>
    <xf numFmtId="0" fontId="0" fillId="0" borderId="30" xfId="0" applyFill="1" applyBorder="1"/>
    <xf numFmtId="0" fontId="2" fillId="0" borderId="30" xfId="0" applyFont="1" applyFill="1" applyBorder="1"/>
    <xf numFmtId="0" fontId="0" fillId="0" borderId="32" xfId="0" applyFill="1" applyBorder="1"/>
    <xf numFmtId="0" fontId="15" fillId="0" borderId="8" xfId="0" applyFont="1" applyFill="1" applyBorder="1"/>
    <xf numFmtId="193" fontId="2" fillId="0" borderId="26" xfId="0" applyNumberFormat="1" applyFont="1" applyBorder="1" applyAlignment="1">
      <alignment horizontal="center"/>
    </xf>
    <xf numFmtId="0" fontId="17" fillId="21" borderId="19" xfId="0" applyFont="1" applyFill="1" applyBorder="1"/>
    <xf numFmtId="0" fontId="2" fillId="21" borderId="0" xfId="0" applyFont="1" applyFill="1" applyAlignment="1">
      <alignment vertical="center"/>
    </xf>
    <xf numFmtId="0" fontId="2" fillId="0" borderId="8" xfId="0" applyFont="1" applyBorder="1"/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36" xfId="0" applyBorder="1"/>
    <xf numFmtId="0" fontId="0" fillId="0" borderId="20" xfId="0" applyBorder="1" applyAlignment="1">
      <alignment horizontal="center"/>
    </xf>
    <xf numFmtId="0" fontId="0" fillId="0" borderId="95" xfId="0" applyBorder="1" applyAlignment="1">
      <alignment horizontal="center"/>
    </xf>
    <xf numFmtId="0" fontId="7" fillId="0" borderId="0" xfId="0" applyFont="1" applyBorder="1"/>
    <xf numFmtId="0" fontId="2" fillId="0" borderId="9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14" xfId="0" applyFont="1" applyBorder="1" applyAlignment="1">
      <alignment horizontal="center"/>
    </xf>
    <xf numFmtId="0" fontId="2" fillId="40" borderId="20" xfId="0" applyFont="1" applyFill="1" applyBorder="1" applyAlignment="1">
      <alignment horizontal="center"/>
    </xf>
    <xf numFmtId="0" fontId="2" fillId="40" borderId="14" xfId="0" applyFont="1" applyFill="1" applyBorder="1" applyAlignment="1">
      <alignment horizontal="center"/>
    </xf>
    <xf numFmtId="0" fontId="2" fillId="40" borderId="9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40" borderId="8" xfId="3" applyFont="1" applyFill="1" applyBorder="1"/>
    <xf numFmtId="43" fontId="0" fillId="40" borderId="28" xfId="3" applyFont="1" applyFill="1" applyBorder="1"/>
    <xf numFmtId="43" fontId="0" fillId="40" borderId="3" xfId="3" applyFont="1" applyFill="1" applyBorder="1"/>
    <xf numFmtId="43" fontId="0" fillId="40" borderId="14" xfId="3" applyFont="1" applyFill="1" applyBorder="1"/>
    <xf numFmtId="0" fontId="2" fillId="43" borderId="14" xfId="0" applyFont="1" applyFill="1" applyBorder="1" applyAlignment="1">
      <alignment horizontal="center"/>
    </xf>
    <xf numFmtId="0" fontId="0" fillId="43" borderId="0" xfId="0" applyFill="1" applyBorder="1"/>
    <xf numFmtId="0" fontId="7" fillId="43" borderId="0" xfId="0" applyFont="1" applyFill="1" applyBorder="1"/>
    <xf numFmtId="14" fontId="0" fillId="43" borderId="8" xfId="0" applyNumberFormat="1" applyFill="1" applyBorder="1"/>
    <xf numFmtId="0" fontId="0" fillId="43" borderId="3" xfId="0" applyFill="1" applyBorder="1"/>
    <xf numFmtId="0" fontId="0" fillId="43" borderId="14" xfId="0" applyFill="1" applyBorder="1"/>
    <xf numFmtId="197" fontId="2" fillId="44" borderId="91" xfId="0" applyNumberFormat="1" applyFont="1" applyFill="1" applyBorder="1"/>
    <xf numFmtId="197" fontId="2" fillId="44" borderId="0" xfId="0" applyNumberFormat="1" applyFont="1" applyFill="1"/>
    <xf numFmtId="197" fontId="2" fillId="0" borderId="91" xfId="0" applyNumberFormat="1" applyFont="1" applyFill="1" applyBorder="1"/>
    <xf numFmtId="43" fontId="72" fillId="45" borderId="0" xfId="3" applyFont="1" applyFill="1" applyAlignment="1">
      <alignment horizontal="center"/>
    </xf>
    <xf numFmtId="43" fontId="4" fillId="0" borderId="13" xfId="3" applyFont="1" applyFill="1" applyBorder="1"/>
    <xf numFmtId="0" fontId="7" fillId="4" borderId="21" xfId="0" applyFont="1" applyFill="1" applyBorder="1" applyAlignment="1">
      <alignment horizontal="center"/>
    </xf>
    <xf numFmtId="197" fontId="20" fillId="42" borderId="91" xfId="0" applyNumberFormat="1" applyFont="1" applyFill="1" applyBorder="1"/>
    <xf numFmtId="197" fontId="47" fillId="0" borderId="91" xfId="0" applyNumberFormat="1" applyFont="1" applyFill="1" applyBorder="1"/>
    <xf numFmtId="197" fontId="52" fillId="46" borderId="0" xfId="0" applyNumberFormat="1" applyFont="1" applyFill="1"/>
    <xf numFmtId="197" fontId="52" fillId="46" borderId="91" xfId="0" applyNumberFormat="1" applyFont="1" applyFill="1" applyBorder="1"/>
    <xf numFmtId="197" fontId="47" fillId="0" borderId="0" xfId="0" applyNumberFormat="1" applyFont="1" applyFill="1"/>
    <xf numFmtId="197" fontId="73" fillId="0" borderId="0" xfId="0" applyNumberFormat="1" applyFont="1" applyFill="1" applyBorder="1"/>
    <xf numFmtId="43" fontId="36" fillId="30" borderId="3" xfId="0" applyNumberFormat="1" applyFont="1" applyFill="1" applyBorder="1"/>
    <xf numFmtId="43" fontId="36" fillId="30" borderId="3" xfId="0" quotePrefix="1" applyNumberFormat="1" applyFont="1" applyFill="1" applyBorder="1"/>
    <xf numFmtId="0" fontId="38" fillId="0" borderId="64" xfId="0" applyFont="1" applyFill="1" applyBorder="1" applyAlignment="1">
      <alignment horizontal="left"/>
    </xf>
    <xf numFmtId="193" fontId="2" fillId="15" borderId="59" xfId="0" applyNumberFormat="1" applyFont="1" applyFill="1" applyBorder="1" applyAlignment="1">
      <alignment horizontal="center"/>
    </xf>
    <xf numFmtId="43" fontId="2" fillId="15" borderId="61" xfId="0" applyNumberFormat="1" applyFont="1" applyFill="1" applyBorder="1" applyAlignment="1">
      <alignment horizontal="center"/>
    </xf>
    <xf numFmtId="193" fontId="2" fillId="15" borderId="70" xfId="0" applyNumberFormat="1" applyFont="1" applyFill="1" applyBorder="1" applyAlignment="1">
      <alignment horizontal="center"/>
    </xf>
    <xf numFmtId="43" fontId="2" fillId="15" borderId="80" xfId="0" applyNumberFormat="1" applyFont="1" applyFill="1" applyBorder="1" applyAlignment="1">
      <alignment horizontal="center"/>
    </xf>
    <xf numFmtId="195" fontId="2" fillId="8" borderId="51" xfId="0" applyNumberFormat="1" applyFont="1" applyFill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0" fillId="0" borderId="95" xfId="0" applyBorder="1"/>
    <xf numFmtId="195" fontId="2" fillId="0" borderId="72" xfId="0" applyNumberFormat="1" applyFont="1" applyFill="1" applyBorder="1" applyAlignment="1">
      <alignment horizontal="center"/>
    </xf>
    <xf numFmtId="193" fontId="2" fillId="15" borderId="62" xfId="0" applyNumberFormat="1" applyFont="1" applyFill="1" applyBorder="1" applyAlignment="1">
      <alignment horizontal="center"/>
    </xf>
    <xf numFmtId="43" fontId="2" fillId="15" borderId="4" xfId="0" applyNumberFormat="1" applyFont="1" applyFill="1" applyBorder="1" applyAlignment="1">
      <alignment horizontal="center"/>
    </xf>
    <xf numFmtId="0" fontId="21" fillId="0" borderId="64" xfId="0" applyFont="1" applyBorder="1" applyAlignment="1">
      <alignment horizontal="left"/>
    </xf>
    <xf numFmtId="17" fontId="62" fillId="4" borderId="7" xfId="0" quotePrefix="1" applyNumberFormat="1" applyFont="1" applyFill="1" applyBorder="1" applyAlignment="1">
      <alignment horizontal="left"/>
    </xf>
    <xf numFmtId="0" fontId="20" fillId="0" borderId="0" xfId="0" applyFont="1"/>
    <xf numFmtId="190" fontId="2" fillId="40" borderId="13" xfId="3" applyNumberFormat="1" applyFont="1" applyFill="1" applyBorder="1"/>
    <xf numFmtId="43" fontId="2" fillId="40" borderId="13" xfId="3" applyFont="1" applyFill="1" applyBorder="1"/>
    <xf numFmtId="0" fontId="3" fillId="4" borderId="0" xfId="0" applyFont="1" applyFill="1"/>
    <xf numFmtId="0" fontId="2" fillId="0" borderId="0" xfId="0" applyFont="1"/>
    <xf numFmtId="0" fontId="3" fillId="0" borderId="24" xfId="0" applyFont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3" fillId="13" borderId="24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3" fillId="15" borderId="24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0" fillId="0" borderId="24" xfId="0" applyBorder="1"/>
    <xf numFmtId="192" fontId="0" fillId="15" borderId="30" xfId="0" applyNumberFormat="1" applyFill="1" applyBorder="1"/>
    <xf numFmtId="0" fontId="2" fillId="8" borderId="30" xfId="0" applyFont="1" applyFill="1" applyBorder="1"/>
    <xf numFmtId="0" fontId="3" fillId="4" borderId="27" xfId="0" applyFont="1" applyFill="1" applyBorder="1"/>
    <xf numFmtId="192" fontId="0" fillId="15" borderId="11" xfId="0" applyNumberFormat="1" applyFill="1" applyBorder="1"/>
    <xf numFmtId="193" fontId="2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33" xfId="0" applyFill="1" applyBorder="1"/>
    <xf numFmtId="193" fontId="0" fillId="0" borderId="26" xfId="0" applyNumberFormat="1" applyBorder="1" applyAlignment="1">
      <alignment horizontal="center"/>
    </xf>
    <xf numFmtId="0" fontId="0" fillId="0" borderId="19" xfId="0" applyBorder="1"/>
    <xf numFmtId="0" fontId="0" fillId="0" borderId="27" xfId="0" applyBorder="1"/>
    <xf numFmtId="0" fontId="0" fillId="0" borderId="25" xfId="0" applyFill="1" applyBorder="1"/>
    <xf numFmtId="0" fontId="16" fillId="0" borderId="8" xfId="0" applyFont="1" applyFill="1" applyBorder="1"/>
    <xf numFmtId="0" fontId="17" fillId="0" borderId="30" xfId="0" applyFont="1" applyFill="1" applyBorder="1"/>
    <xf numFmtId="43" fontId="75" fillId="0" borderId="29" xfId="3" applyFont="1" applyFill="1" applyBorder="1"/>
    <xf numFmtId="193" fontId="3" fillId="0" borderId="26" xfId="0" applyNumberFormat="1" applyFont="1" applyBorder="1" applyAlignment="1">
      <alignment horizontal="center"/>
    </xf>
    <xf numFmtId="0" fontId="0" fillId="0" borderId="8" xfId="0" applyBorder="1"/>
    <xf numFmtId="193" fontId="3" fillId="19" borderId="26" xfId="0" applyNumberFormat="1" applyFont="1" applyFill="1" applyBorder="1" applyAlignment="1">
      <alignment horizontal="center"/>
    </xf>
    <xf numFmtId="0" fontId="3" fillId="20" borderId="25" xfId="0" applyFont="1" applyFill="1" applyBorder="1" applyAlignment="1">
      <alignment horizontal="center"/>
    </xf>
    <xf numFmtId="193" fontId="0" fillId="0" borderId="35" xfId="0" applyNumberFormat="1" applyBorder="1" applyAlignment="1">
      <alignment horizontal="center"/>
    </xf>
    <xf numFmtId="0" fontId="3" fillId="0" borderId="37" xfId="0" applyFont="1" applyBorder="1" applyAlignment="1">
      <alignment horizontal="center"/>
    </xf>
    <xf numFmtId="193" fontId="3" fillId="0" borderId="37" xfId="0" applyNumberFormat="1" applyFont="1" applyBorder="1" applyAlignment="1">
      <alignment horizontal="center"/>
    </xf>
    <xf numFmtId="0" fontId="0" fillId="0" borderId="35" xfId="0" applyBorder="1"/>
    <xf numFmtId="193" fontId="0" fillId="0" borderId="19" xfId="0" applyNumberForma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right"/>
    </xf>
    <xf numFmtId="0" fontId="0" fillId="0" borderId="26" xfId="0" applyBorder="1"/>
    <xf numFmtId="0" fontId="0" fillId="0" borderId="8" xfId="0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2" fillId="0" borderId="6" xfId="0" applyFont="1" applyBorder="1"/>
    <xf numFmtId="193" fontId="3" fillId="0" borderId="25" xfId="0" applyNumberFormat="1" applyFont="1" applyBorder="1" applyAlignment="1">
      <alignment horizontal="center"/>
    </xf>
    <xf numFmtId="43" fontId="0" fillId="0" borderId="27" xfId="0" applyNumberFormat="1" applyBorder="1"/>
    <xf numFmtId="0" fontId="17" fillId="0" borderId="19" xfId="0" applyFont="1" applyFill="1" applyBorder="1"/>
    <xf numFmtId="193" fontId="3" fillId="22" borderId="25" xfId="0" applyNumberFormat="1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193" fontId="3" fillId="0" borderId="38" xfId="0" applyNumberFormat="1" applyFont="1" applyBorder="1" applyAlignment="1">
      <alignment horizontal="center"/>
    </xf>
    <xf numFmtId="43" fontId="2" fillId="0" borderId="19" xfId="3" applyFont="1" applyFill="1" applyBorder="1"/>
    <xf numFmtId="192" fontId="0" fillId="0" borderId="30" xfId="0" applyNumberFormat="1" applyFill="1" applyBorder="1"/>
    <xf numFmtId="0" fontId="3" fillId="0" borderId="27" xfId="0" applyFont="1" applyFill="1" applyBorder="1"/>
    <xf numFmtId="193" fontId="0" fillId="0" borderId="25" xfId="0" applyNumberFormat="1" applyBorder="1" applyAlignment="1">
      <alignment horizontal="center"/>
    </xf>
    <xf numFmtId="193" fontId="3" fillId="0" borderId="26" xfId="0" applyNumberFormat="1" applyFont="1" applyFill="1" applyBorder="1" applyAlignment="1">
      <alignment horizontal="center"/>
    </xf>
    <xf numFmtId="193" fontId="3" fillId="23" borderId="26" xfId="0" applyNumberFormat="1" applyFont="1" applyFill="1" applyBorder="1" applyAlignment="1">
      <alignment horizontal="center"/>
    </xf>
    <xf numFmtId="0" fontId="3" fillId="23" borderId="19" xfId="0" applyFont="1" applyFill="1" applyBorder="1"/>
    <xf numFmtId="43" fontId="3" fillId="23" borderId="19" xfId="0" applyNumberFormat="1" applyFont="1" applyFill="1" applyBorder="1"/>
    <xf numFmtId="193" fontId="0" fillId="16" borderId="25" xfId="0" applyNumberFormat="1" applyFill="1" applyBorder="1" applyAlignment="1">
      <alignment horizontal="center"/>
    </xf>
    <xf numFmtId="193" fontId="3" fillId="16" borderId="26" xfId="0" applyNumberFormat="1" applyFont="1" applyFill="1" applyBorder="1" applyAlignment="1">
      <alignment horizontal="center"/>
    </xf>
    <xf numFmtId="0" fontId="3" fillId="16" borderId="19" xfId="0" applyFont="1" applyFill="1" applyBorder="1"/>
    <xf numFmtId="43" fontId="3" fillId="16" borderId="6" xfId="0" applyNumberFormat="1" applyFont="1" applyFill="1" applyBorder="1"/>
    <xf numFmtId="0" fontId="0" fillId="16" borderId="27" xfId="0" applyFill="1" applyBorder="1"/>
    <xf numFmtId="0" fontId="0" fillId="16" borderId="30" xfId="0" applyFill="1" applyBorder="1"/>
    <xf numFmtId="0" fontId="15" fillId="16" borderId="29" xfId="0" applyFont="1" applyFill="1" applyBorder="1"/>
    <xf numFmtId="192" fontId="0" fillId="16" borderId="30" xfId="0" applyNumberFormat="1" applyFill="1" applyBorder="1"/>
    <xf numFmtId="0" fontId="2" fillId="16" borderId="30" xfId="0" applyFont="1" applyFill="1" applyBorder="1"/>
    <xf numFmtId="0" fontId="3" fillId="16" borderId="27" xfId="0" applyFont="1" applyFill="1" applyBorder="1"/>
    <xf numFmtId="193" fontId="3" fillId="24" borderId="26" xfId="0" applyNumberFormat="1" applyFont="1" applyFill="1" applyBorder="1" applyAlignment="1">
      <alignment horizontal="center"/>
    </xf>
    <xf numFmtId="193" fontId="3" fillId="0" borderId="26" xfId="0" applyNumberFormat="1" applyFont="1" applyFill="1" applyBorder="1" applyAlignment="1">
      <alignment horizontal="left"/>
    </xf>
    <xf numFmtId="0" fontId="3" fillId="0" borderId="19" xfId="0" applyFont="1" applyFill="1" applyBorder="1"/>
    <xf numFmtId="0" fontId="2" fillId="0" borderId="19" xfId="0" applyFont="1" applyFill="1" applyBorder="1"/>
    <xf numFmtId="193" fontId="0" fillId="0" borderId="39" xfId="0" applyNumberFormat="1" applyBorder="1" applyAlignment="1">
      <alignment horizontal="center"/>
    </xf>
    <xf numFmtId="193" fontId="2" fillId="25" borderId="35" xfId="0" applyNumberFormat="1" applyFont="1" applyFill="1" applyBorder="1" applyAlignment="1">
      <alignment horizontal="center"/>
    </xf>
    <xf numFmtId="0" fontId="0" fillId="26" borderId="35" xfId="0" applyFill="1" applyBorder="1"/>
    <xf numFmtId="43" fontId="0" fillId="26" borderId="35" xfId="0" applyNumberFormat="1" applyFill="1" applyBorder="1"/>
    <xf numFmtId="193" fontId="2" fillId="0" borderId="27" xfId="0" applyNumberFormat="1" applyFont="1" applyBorder="1" applyAlignment="1">
      <alignment horizontal="center"/>
    </xf>
    <xf numFmtId="43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93" fontId="3" fillId="27" borderId="26" xfId="0" applyNumberFormat="1" applyFont="1" applyFill="1" applyBorder="1" applyAlignment="1">
      <alignment horizontal="center"/>
    </xf>
    <xf numFmtId="0" fontId="0" fillId="27" borderId="19" xfId="0" applyFill="1" applyBorder="1"/>
    <xf numFmtId="0" fontId="15" fillId="0" borderId="30" xfId="0" applyFont="1" applyFill="1" applyBorder="1"/>
    <xf numFmtId="0" fontId="0" fillId="21" borderId="25" xfId="0" applyFill="1" applyBorder="1" applyAlignment="1">
      <alignment horizontal="center"/>
    </xf>
    <xf numFmtId="0" fontId="2" fillId="0" borderId="27" xfId="0" applyFont="1" applyBorder="1"/>
    <xf numFmtId="0" fontId="2" fillId="0" borderId="26" xfId="0" applyFont="1" applyBorder="1"/>
    <xf numFmtId="0" fontId="0" fillId="0" borderId="25" xfId="0" applyBorder="1"/>
    <xf numFmtId="192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2" xfId="0" applyFill="1" applyBorder="1"/>
    <xf numFmtId="192" fontId="0" fillId="15" borderId="33" xfId="0" applyNumberFormat="1" applyFill="1" applyBorder="1"/>
    <xf numFmtId="0" fontId="2" fillId="8" borderId="33" xfId="0" applyFont="1" applyFill="1" applyBorder="1"/>
    <xf numFmtId="0" fontId="3" fillId="4" borderId="42" xfId="0" applyFont="1" applyFill="1" applyBorder="1"/>
    <xf numFmtId="43" fontId="71" fillId="0" borderId="0" xfId="0" applyNumberFormat="1" applyFont="1" applyFill="1" applyBorder="1"/>
    <xf numFmtId="43" fontId="71" fillId="0" borderId="0" xfId="0" applyNumberFormat="1" applyFont="1" applyFill="1"/>
    <xf numFmtId="43" fontId="76" fillId="0" borderId="0" xfId="0" applyNumberFormat="1" applyFont="1" applyFill="1" applyBorder="1"/>
    <xf numFmtId="43" fontId="76" fillId="0" borderId="0" xfId="0" applyNumberFormat="1" applyFont="1" applyFill="1"/>
    <xf numFmtId="197" fontId="2" fillId="21" borderId="0" xfId="0" applyNumberFormat="1" applyFont="1" applyFill="1"/>
    <xf numFmtId="0" fontId="7" fillId="0" borderId="0" xfId="0" applyFont="1"/>
    <xf numFmtId="43" fontId="2" fillId="0" borderId="13" xfId="3" applyFont="1" applyFill="1" applyBorder="1"/>
    <xf numFmtId="0" fontId="0" fillId="0" borderId="57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7" fillId="8" borderId="21" xfId="0" applyFont="1" applyFill="1" applyBorder="1" applyAlignment="1">
      <alignment horizontal="center"/>
    </xf>
    <xf numFmtId="0" fontId="7" fillId="32" borderId="1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2" fillId="0" borderId="8" xfId="0" applyFont="1" applyFill="1" applyBorder="1"/>
    <xf numFmtId="43" fontId="3" fillId="21" borderId="19" xfId="3" applyFont="1" applyFill="1" applyBorder="1"/>
    <xf numFmtId="43" fontId="3" fillId="47" borderId="6" xfId="0" applyNumberFormat="1" applyFont="1" applyFill="1" applyBorder="1"/>
    <xf numFmtId="43" fontId="3" fillId="47" borderId="27" xfId="0" applyNumberFormat="1" applyFont="1" applyFill="1" applyBorder="1"/>
    <xf numFmtId="43" fontId="2" fillId="40" borderId="8" xfId="3" applyFont="1" applyFill="1" applyBorder="1"/>
    <xf numFmtId="0" fontId="38" fillId="0" borderId="65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right"/>
    </xf>
    <xf numFmtId="43" fontId="37" fillId="30" borderId="3" xfId="0" applyNumberFormat="1" applyFont="1" applyFill="1" applyBorder="1"/>
    <xf numFmtId="0" fontId="0" fillId="0" borderId="6" xfId="0" applyBorder="1" applyAlignment="1">
      <alignment horizontal="right"/>
    </xf>
    <xf numFmtId="0" fontId="35" fillId="0" borderId="63" xfId="0" applyFont="1" applyFill="1" applyBorder="1" applyAlignment="1">
      <alignment horizontal="left"/>
    </xf>
    <xf numFmtId="0" fontId="0" fillId="0" borderId="11" xfId="0" applyBorder="1" applyAlignment="1">
      <alignment horizontal="right"/>
    </xf>
    <xf numFmtId="195" fontId="38" fillId="0" borderId="62" xfId="0" applyNumberFormat="1" applyFont="1" applyFill="1" applyBorder="1" applyAlignment="1">
      <alignment horizontal="right"/>
    </xf>
    <xf numFmtId="16" fontId="36" fillId="30" borderId="4" xfId="0" quotePrefix="1" applyNumberFormat="1" applyFont="1" applyFill="1" applyBorder="1"/>
    <xf numFmtId="43" fontId="5" fillId="12" borderId="9" xfId="0" applyNumberFormat="1" applyFont="1" applyFill="1" applyBorder="1"/>
    <xf numFmtId="0" fontId="63" fillId="0" borderId="63" xfId="0" applyFont="1" applyBorder="1" applyAlignment="1">
      <alignment horizontal="left"/>
    </xf>
    <xf numFmtId="195" fontId="2" fillId="4" borderId="51" xfId="0" applyNumberFormat="1" applyFont="1" applyFill="1" applyBorder="1" applyAlignment="1">
      <alignment horizontal="right"/>
    </xf>
    <xf numFmtId="14" fontId="2" fillId="0" borderId="26" xfId="0" applyNumberFormat="1" applyFont="1" applyBorder="1" applyAlignment="1">
      <alignment horizontal="left"/>
    </xf>
    <xf numFmtId="0" fontId="62" fillId="0" borderId="30" xfId="0" applyFont="1" applyFill="1" applyBorder="1" applyAlignment="1">
      <alignment horizontal="right"/>
    </xf>
    <xf numFmtId="0" fontId="62" fillId="0" borderId="26" xfId="0" applyFont="1" applyFill="1" applyBorder="1" applyAlignment="1">
      <alignment horizontal="left"/>
    </xf>
    <xf numFmtId="43" fontId="40" fillId="30" borderId="66" xfId="0" applyNumberFormat="1" applyFont="1" applyFill="1" applyBorder="1"/>
    <xf numFmtId="43" fontId="69" fillId="30" borderId="66" xfId="0" applyNumberFormat="1" applyFont="1" applyFill="1" applyBorder="1" applyAlignment="1">
      <alignment horizontal="right"/>
    </xf>
    <xf numFmtId="43" fontId="70" fillId="30" borderId="66" xfId="0" applyNumberFormat="1" applyFont="1" applyFill="1" applyBorder="1" applyAlignment="1">
      <alignment horizontal="right"/>
    </xf>
    <xf numFmtId="43" fontId="2" fillId="30" borderId="66" xfId="0" applyNumberFormat="1" applyFont="1" applyFill="1" applyBorder="1"/>
    <xf numFmtId="0" fontId="3" fillId="0" borderId="58" xfId="0" applyFont="1" applyFill="1" applyBorder="1"/>
    <xf numFmtId="43" fontId="33" fillId="0" borderId="0" xfId="0" applyNumberFormat="1" applyFont="1" applyFill="1" applyBorder="1"/>
    <xf numFmtId="4" fontId="77" fillId="48" borderId="0" xfId="10" applyNumberFormat="1" applyFont="1" applyFill="1" applyBorder="1" applyAlignment="1">
      <alignment horizontal="center"/>
    </xf>
    <xf numFmtId="4" fontId="77" fillId="21" borderId="0" xfId="10" applyNumberFormat="1" applyFont="1" applyFill="1" applyBorder="1"/>
    <xf numFmtId="4" fontId="77" fillId="48" borderId="0" xfId="10" applyNumberFormat="1" applyFont="1" applyFill="1" applyBorder="1" applyAlignment="1">
      <alignment horizontal="right"/>
    </xf>
    <xf numFmtId="4" fontId="77" fillId="48" borderId="0" xfId="10" applyNumberFormat="1" applyFont="1" applyFill="1" applyBorder="1"/>
    <xf numFmtId="43" fontId="2" fillId="21" borderId="58" xfId="0" applyNumberFormat="1" applyFont="1" applyFill="1" applyBorder="1"/>
    <xf numFmtId="3" fontId="2" fillId="21" borderId="58" xfId="0" applyNumberFormat="1" applyFont="1" applyFill="1" applyBorder="1" applyAlignment="1">
      <alignment horizontal="center"/>
    </xf>
    <xf numFmtId="4" fontId="78" fillId="48" borderId="0" xfId="10" applyNumberFormat="1" applyFont="1" applyFill="1" applyBorder="1" applyAlignment="1">
      <alignment horizontal="center"/>
    </xf>
    <xf numFmtId="4" fontId="78" fillId="21" borderId="0" xfId="10" applyNumberFormat="1" applyFont="1" applyFill="1" applyBorder="1"/>
    <xf numFmtId="4" fontId="78" fillId="48" borderId="0" xfId="10" applyNumberFormat="1" applyFont="1" applyFill="1" applyBorder="1" applyAlignment="1">
      <alignment horizontal="right"/>
    </xf>
    <xf numFmtId="4" fontId="78" fillId="48" borderId="0" xfId="10" applyNumberFormat="1" applyFont="1" applyFill="1" applyBorder="1"/>
    <xf numFmtId="3" fontId="78" fillId="48" borderId="0" xfId="10" applyNumberFormat="1" applyFont="1" applyFill="1" applyBorder="1"/>
    <xf numFmtId="4" fontId="2" fillId="0" borderId="0" xfId="0" applyNumberFormat="1" applyFont="1" applyAlignment="1">
      <alignment horizontal="center"/>
    </xf>
    <xf numFmtId="4" fontId="74" fillId="21" borderId="0" xfId="0" applyNumberFormat="1" applyFont="1" applyFill="1"/>
    <xf numFmtId="4" fontId="2" fillId="0" borderId="0" xfId="0" applyNumberFormat="1" applyFont="1" applyAlignment="1">
      <alignment horizontal="right"/>
    </xf>
    <xf numFmtId="4" fontId="79" fillId="21" borderId="0" xfId="0" applyNumberFormat="1" applyFont="1" applyFill="1"/>
    <xf numFmtId="4" fontId="3" fillId="21" borderId="58" xfId="0" applyNumberFormat="1" applyFont="1" applyFill="1" applyBorder="1"/>
    <xf numFmtId="3" fontId="3" fillId="21" borderId="58" xfId="0" applyNumberFormat="1" applyFont="1" applyFill="1" applyBorder="1" applyAlignment="1">
      <alignment horizontal="center"/>
    </xf>
    <xf numFmtId="0" fontId="21" fillId="4" borderId="6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left"/>
    </xf>
    <xf numFmtId="195" fontId="3" fillId="4" borderId="4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left"/>
    </xf>
    <xf numFmtId="0" fontId="3" fillId="4" borderId="4" xfId="0" applyFont="1" applyFill="1" applyBorder="1"/>
    <xf numFmtId="195" fontId="21" fillId="0" borderId="32" xfId="0" applyNumberFormat="1" applyFont="1" applyFill="1" applyBorder="1" applyAlignment="1">
      <alignment horizontal="right"/>
    </xf>
    <xf numFmtId="43" fontId="45" fillId="44" borderId="8" xfId="0" applyNumberFormat="1" applyFont="1" applyFill="1" applyBorder="1" applyAlignment="1">
      <alignment horizontal="right"/>
    </xf>
    <xf numFmtId="190" fontId="45" fillId="44" borderId="8" xfId="0" applyNumberFormat="1" applyFont="1" applyFill="1" applyBorder="1"/>
    <xf numFmtId="43" fontId="45" fillId="44" borderId="4" xfId="0" applyNumberFormat="1" applyFont="1" applyFill="1" applyBorder="1"/>
    <xf numFmtId="43" fontId="45" fillId="12" borderId="8" xfId="0" applyNumberFormat="1" applyFont="1" applyFill="1" applyBorder="1"/>
    <xf numFmtId="3" fontId="45" fillId="12" borderId="8" xfId="0" applyNumberFormat="1" applyFont="1" applyFill="1" applyBorder="1"/>
    <xf numFmtId="3" fontId="45" fillId="12" borderId="4" xfId="0" applyNumberFormat="1" applyFont="1" applyFill="1" applyBorder="1"/>
    <xf numFmtId="0" fontId="21" fillId="0" borderId="0" xfId="0" applyFont="1"/>
    <xf numFmtId="0" fontId="21" fillId="0" borderId="0" xfId="0" applyFont="1" applyFill="1" applyBorder="1"/>
    <xf numFmtId="43" fontId="20" fillId="30" borderId="4" xfId="0" applyNumberFormat="1" applyFont="1" applyFill="1" applyBorder="1"/>
    <xf numFmtId="0" fontId="21" fillId="0" borderId="28" xfId="0" applyFont="1" applyBorder="1" applyAlignment="1">
      <alignment horizontal="left"/>
    </xf>
    <xf numFmtId="0" fontId="20" fillId="0" borderId="11" xfId="0" applyFont="1" applyFill="1" applyBorder="1" applyAlignment="1">
      <alignment horizontal="right"/>
    </xf>
    <xf numFmtId="43" fontId="3" fillId="21" borderId="62" xfId="0" applyNumberFormat="1" applyFont="1" applyFill="1" applyBorder="1"/>
    <xf numFmtId="43" fontId="3" fillId="4" borderId="4" xfId="0" applyNumberFormat="1" applyFont="1" applyFill="1" applyBorder="1"/>
    <xf numFmtId="43" fontId="3" fillId="4" borderId="5" xfId="0" applyNumberFormat="1" applyFont="1" applyFill="1" applyBorder="1"/>
    <xf numFmtId="0" fontId="47" fillId="44" borderId="7" xfId="0" applyFont="1" applyFill="1" applyBorder="1" applyAlignment="1">
      <alignment horizontal="left"/>
    </xf>
    <xf numFmtId="0" fontId="47" fillId="44" borderId="4" xfId="0" applyFont="1" applyFill="1" applyBorder="1"/>
    <xf numFmtId="0" fontId="2" fillId="44" borderId="0" xfId="0" applyFont="1" applyFill="1" applyAlignment="1">
      <alignment vertical="center"/>
    </xf>
    <xf numFmtId="43" fontId="2" fillId="0" borderId="8" xfId="0" applyNumberFormat="1" applyFont="1" applyFill="1" applyBorder="1"/>
    <xf numFmtId="0" fontId="80" fillId="36" borderId="0" xfId="0" applyFont="1" applyFill="1" applyAlignment="1">
      <alignment horizontal="center"/>
    </xf>
    <xf numFmtId="197" fontId="2" fillId="41" borderId="0" xfId="0" applyNumberFormat="1" applyFont="1" applyFill="1"/>
    <xf numFmtId="197" fontId="2" fillId="41" borderId="91" xfId="0" applyNumberFormat="1" applyFont="1" applyFill="1" applyBorder="1"/>
    <xf numFmtId="197" fontId="73" fillId="18" borderId="91" xfId="0" applyNumberFormat="1" applyFont="1" applyFill="1" applyBorder="1"/>
    <xf numFmtId="0" fontId="7" fillId="21" borderId="0" xfId="0" applyFont="1" applyFill="1"/>
    <xf numFmtId="197" fontId="52" fillId="44" borderId="0" xfId="0" applyNumberFormat="1" applyFont="1" applyFill="1"/>
    <xf numFmtId="0" fontId="0" fillId="0" borderId="91" xfId="0" applyFont="1" applyFill="1" applyBorder="1"/>
    <xf numFmtId="43" fontId="3" fillId="41" borderId="12" xfId="3" applyFont="1" applyFill="1" applyBorder="1"/>
    <xf numFmtId="197" fontId="47" fillId="41" borderId="0" xfId="0" applyNumberFormat="1" applyFont="1" applyFill="1"/>
    <xf numFmtId="43" fontId="3" fillId="0" borderId="4" xfId="3" applyFont="1" applyFill="1" applyBorder="1"/>
    <xf numFmtId="43" fontId="2" fillId="0" borderId="12" xfId="3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43" fontId="3" fillId="3" borderId="10" xfId="0" applyNumberFormat="1" applyFont="1" applyFill="1" applyBorder="1" applyAlignment="1">
      <alignment horizontal="right"/>
    </xf>
    <xf numFmtId="43" fontId="3" fillId="3" borderId="11" xfId="0" applyNumberFormat="1" applyFont="1" applyFill="1" applyBorder="1" applyAlignment="1">
      <alignment horizontal="right"/>
    </xf>
    <xf numFmtId="43" fontId="3" fillId="2" borderId="3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191" fontId="3" fillId="6" borderId="44" xfId="0" applyNumberFormat="1" applyFont="1" applyFill="1" applyBorder="1" applyAlignment="1">
      <alignment horizontal="center"/>
    </xf>
    <xf numFmtId="43" fontId="3" fillId="0" borderId="3" xfId="0" applyNumberFormat="1" applyFont="1" applyFill="1" applyBorder="1" applyAlignment="1">
      <alignment horizontal="center"/>
    </xf>
    <xf numFmtId="43" fontId="3" fillId="0" borderId="4" xfId="0" applyNumberFormat="1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43" fontId="3" fillId="2" borderId="11" xfId="0" applyNumberFormat="1" applyFont="1" applyFill="1" applyBorder="1" applyAlignment="1">
      <alignment horizontal="center"/>
    </xf>
    <xf numFmtId="43" fontId="3" fillId="2" borderId="12" xfId="0" applyNumberFormat="1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 vertical="center"/>
    </xf>
    <xf numFmtId="43" fontId="3" fillId="2" borderId="12" xfId="0" applyNumberFormat="1" applyFont="1" applyFill="1" applyBorder="1" applyAlignment="1">
      <alignment horizontal="center" vertical="center"/>
    </xf>
    <xf numFmtId="191" fontId="3" fillId="6" borderId="21" xfId="0" applyNumberFormat="1" applyFont="1" applyFill="1" applyBorder="1" applyAlignment="1">
      <alignment horizontal="center"/>
    </xf>
    <xf numFmtId="43" fontId="3" fillId="3" borderId="43" xfId="0" applyNumberFormat="1" applyFont="1" applyFill="1" applyBorder="1" applyAlignment="1">
      <alignment horizontal="right"/>
    </xf>
    <xf numFmtId="43" fontId="3" fillId="3" borderId="44" xfId="0" applyNumberFormat="1" applyFont="1" applyFill="1" applyBorder="1" applyAlignment="1">
      <alignment horizontal="right"/>
    </xf>
    <xf numFmtId="191" fontId="3" fillId="6" borderId="0" xfId="0" applyNumberFormat="1" applyFont="1" applyFill="1" applyBorder="1" applyAlignment="1">
      <alignment horizontal="center"/>
    </xf>
    <xf numFmtId="0" fontId="3" fillId="17" borderId="13" xfId="0" applyFont="1" applyFill="1" applyBorder="1" applyAlignment="1">
      <alignment horizontal="center" vertical="center"/>
    </xf>
    <xf numFmtId="0" fontId="3" fillId="17" borderId="45" xfId="0" applyFont="1" applyFill="1" applyBorder="1" applyAlignment="1">
      <alignment horizontal="center" vertical="center"/>
    </xf>
    <xf numFmtId="0" fontId="3" fillId="17" borderId="46" xfId="0" applyFont="1" applyFill="1" applyBorder="1" applyAlignment="1">
      <alignment horizontal="center" vertical="center"/>
    </xf>
    <xf numFmtId="0" fontId="25" fillId="16" borderId="47" xfId="0" applyFont="1" applyFill="1" applyBorder="1" applyAlignment="1">
      <alignment horizontal="center"/>
    </xf>
    <xf numFmtId="43" fontId="18" fillId="0" borderId="48" xfId="3" applyFont="1" applyBorder="1" applyAlignment="1">
      <alignment horizontal="center" vertical="center"/>
    </xf>
    <xf numFmtId="43" fontId="18" fillId="0" borderId="47" xfId="3" applyFont="1" applyBorder="1" applyAlignment="1">
      <alignment horizontal="center" vertical="center"/>
    </xf>
    <xf numFmtId="0" fontId="3" fillId="17" borderId="13" xfId="0" applyFont="1" applyFill="1" applyBorder="1" applyAlignment="1">
      <alignment horizontal="center" vertical="center" wrapText="1"/>
    </xf>
    <xf numFmtId="0" fontId="53" fillId="37" borderId="92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4" fontId="3" fillId="0" borderId="50" xfId="0" applyNumberFormat="1" applyFont="1" applyBorder="1" applyAlignment="1">
      <alignment horizontal="center"/>
    </xf>
    <xf numFmtId="4" fontId="3" fillId="0" borderId="51" xfId="0" applyNumberFormat="1" applyFont="1" applyBorder="1" applyAlignment="1">
      <alignment horizontal="center"/>
    </xf>
    <xf numFmtId="4" fontId="3" fillId="0" borderId="54" xfId="0" applyNumberFormat="1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193" fontId="0" fillId="15" borderId="54" xfId="0" applyNumberFormat="1" applyFill="1" applyBorder="1" applyAlignment="1">
      <alignment horizontal="center"/>
    </xf>
    <xf numFmtId="193" fontId="0" fillId="15" borderId="55" xfId="0" applyNumberFormat="1" applyFill="1" applyBorder="1" applyAlignment="1">
      <alignment horizontal="center"/>
    </xf>
    <xf numFmtId="193" fontId="0" fillId="15" borderId="22" xfId="0" applyNumberFormat="1" applyFill="1" applyBorder="1" applyAlignment="1">
      <alignment horizontal="center"/>
    </xf>
    <xf numFmtId="0" fontId="3" fillId="15" borderId="57" xfId="0" applyFont="1" applyFill="1" applyBorder="1" applyAlignment="1">
      <alignment horizontal="center" vertical="center"/>
    </xf>
    <xf numFmtId="0" fontId="3" fillId="0" borderId="56" xfId="0" applyFont="1" applyBorder="1" applyAlignment="1"/>
    <xf numFmtId="0" fontId="3" fillId="15" borderId="30" xfId="0" applyFont="1" applyFill="1" applyBorder="1" applyAlignment="1">
      <alignment horizontal="center" vertical="center"/>
    </xf>
    <xf numFmtId="0" fontId="3" fillId="0" borderId="26" xfId="0" applyFont="1" applyBorder="1" applyAlignment="1"/>
    <xf numFmtId="0" fontId="7" fillId="8" borderId="17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32" borderId="17" xfId="0" applyFont="1" applyFill="1" applyBorder="1" applyAlignment="1">
      <alignment horizontal="center"/>
    </xf>
    <xf numFmtId="0" fontId="7" fillId="32" borderId="15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51" xfId="0" applyBorder="1" applyAlignment="1">
      <alignment horizontal="center"/>
    </xf>
    <xf numFmtId="4" fontId="0" fillId="0" borderId="50" xfId="0" applyNumberFormat="1" applyBorder="1" applyAlignment="1">
      <alignment horizontal="center"/>
    </xf>
    <xf numFmtId="4" fontId="0" fillId="0" borderId="5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15" borderId="57" xfId="0" applyFill="1" applyBorder="1" applyAlignment="1">
      <alignment horizontal="center" vertical="center"/>
    </xf>
    <xf numFmtId="0" fontId="0" fillId="0" borderId="56" xfId="0" applyBorder="1" applyAlignment="1"/>
    <xf numFmtId="0" fontId="0" fillId="15" borderId="33" xfId="0" applyFill="1" applyBorder="1" applyAlignment="1">
      <alignment horizontal="center" vertical="center"/>
    </xf>
    <xf numFmtId="0" fontId="0" fillId="0" borderId="41" xfId="0" applyBorder="1" applyAlignment="1"/>
    <xf numFmtId="0" fontId="7" fillId="8" borderId="71" xfId="0" applyFont="1" applyFill="1" applyBorder="1" applyAlignment="1">
      <alignment horizontal="center"/>
    </xf>
    <xf numFmtId="0" fontId="7" fillId="8" borderId="21" xfId="0" applyFont="1" applyFill="1" applyBorder="1" applyAlignment="1">
      <alignment horizontal="center"/>
    </xf>
    <xf numFmtId="0" fontId="7" fillId="4" borderId="71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0" fillId="15" borderId="51" xfId="0" applyFill="1" applyBorder="1" applyAlignment="1">
      <alignment horizontal="center" vertical="center"/>
    </xf>
    <xf numFmtId="0" fontId="0" fillId="0" borderId="52" xfId="0" applyBorder="1" applyAlignment="1"/>
    <xf numFmtId="0" fontId="0" fillId="15" borderId="8" xfId="0" applyFill="1" applyBorder="1" applyAlignment="1">
      <alignment horizontal="center" vertical="center"/>
    </xf>
    <xf numFmtId="0" fontId="0" fillId="0" borderId="28" xfId="0" applyBorder="1" applyAlignment="1"/>
    <xf numFmtId="0" fontId="7" fillId="4" borderId="17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4" fontId="0" fillId="0" borderId="54" xfId="0" applyNumberFormat="1" applyBorder="1" applyAlignment="1">
      <alignment horizontal="center"/>
    </xf>
    <xf numFmtId="193" fontId="0" fillId="15" borderId="23" xfId="0" applyNumberFormat="1" applyFill="1" applyBorder="1" applyAlignment="1">
      <alignment horizontal="center"/>
    </xf>
    <xf numFmtId="193" fontId="2" fillId="15" borderId="58" xfId="0" applyNumberFormat="1" applyFont="1" applyFill="1" applyBorder="1" applyAlignment="1">
      <alignment horizontal="center"/>
    </xf>
    <xf numFmtId="0" fontId="0" fillId="0" borderId="60" xfId="0" applyBorder="1" applyAlignment="1">
      <alignment horizontal="center"/>
    </xf>
    <xf numFmtId="43" fontId="0" fillId="40" borderId="17" xfId="3" applyFont="1" applyFill="1" applyBorder="1" applyAlignment="1">
      <alignment horizontal="center"/>
    </xf>
    <xf numFmtId="43" fontId="0" fillId="40" borderId="15" xfId="3" applyFont="1" applyFill="1" applyBorder="1" applyAlignment="1">
      <alignment horizontal="center"/>
    </xf>
    <xf numFmtId="43" fontId="0" fillId="40" borderId="69" xfId="3" applyFont="1" applyFill="1" applyBorder="1" applyAlignment="1">
      <alignment horizontal="center"/>
    </xf>
  </cellXfs>
  <cellStyles count="15">
    <cellStyle name="Comma" xfId="3" builtinId="3"/>
    <cellStyle name="Comma 2" xfId="1"/>
    <cellStyle name="Normal" xfId="0" builtinId="0"/>
    <cellStyle name="Normal 2" xfId="2"/>
    <cellStyle name="Percent" xfId="6" builtinId="5"/>
    <cellStyle name="Percent 2" xfId="9"/>
    <cellStyle name="เครื่องหมายจุลภาค 2" xfId="4"/>
    <cellStyle name="เครื่องหมายจุลภาค 3" xfId="7"/>
    <cellStyle name="เครื่องหมายจุลภาค 4" xfId="12"/>
    <cellStyle name="เครื่องหมายจุลภาค 5" xfId="13"/>
    <cellStyle name="เครื่องหมายจุลภาค 6" xfId="14"/>
    <cellStyle name="ปกติ 2" xfId="5"/>
    <cellStyle name="ปกติ 3" xfId="10"/>
    <cellStyle name="ปกติ 4" xfId="11"/>
    <cellStyle name="เปอร์เซ็นต์ 2" xfId="8"/>
  </cellStyles>
  <dxfs count="0"/>
  <tableStyles count="0" defaultTableStyle="TableStyleMedium9" defaultPivotStyle="PivotStyleLight16"/>
  <colors>
    <mruColors>
      <color rgb="FF0000CC"/>
      <color rgb="FFFF99CC"/>
      <color rgb="FF00FFFF"/>
      <color rgb="FFFFFFCC"/>
      <color rgb="FFFFFF99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771525</xdr:colOff>
      <xdr:row>17</xdr:row>
      <xdr:rowOff>171450</xdr:rowOff>
    </xdr:from>
    <xdr:to>
      <xdr:col>9</xdr:col>
      <xdr:colOff>19050</xdr:colOff>
      <xdr:row>20</xdr:row>
      <xdr:rowOff>9525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934075" y="3238500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685800</xdr:colOff>
      <xdr:row>58</xdr:row>
      <xdr:rowOff>152400</xdr:rowOff>
    </xdr:from>
    <xdr:to>
      <xdr:col>8</xdr:col>
      <xdr:colOff>762000</xdr:colOff>
      <xdr:row>61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5848350" y="7296150"/>
          <a:ext cx="9239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771525</xdr:colOff>
      <xdr:row>23</xdr:row>
      <xdr:rowOff>171450</xdr:rowOff>
    </xdr:from>
    <xdr:to>
      <xdr:col>9</xdr:col>
      <xdr:colOff>19050</xdr:colOff>
      <xdr:row>26</xdr:row>
      <xdr:rowOff>9525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5934075" y="4114800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685800</xdr:colOff>
      <xdr:row>76</xdr:row>
      <xdr:rowOff>152400</xdr:rowOff>
    </xdr:from>
    <xdr:to>
      <xdr:col>8</xdr:col>
      <xdr:colOff>762000</xdr:colOff>
      <xdr:row>79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5848350" y="10020300"/>
          <a:ext cx="9239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771525</xdr:colOff>
      <xdr:row>17</xdr:row>
      <xdr:rowOff>171450</xdr:rowOff>
    </xdr:from>
    <xdr:to>
      <xdr:col>9</xdr:col>
      <xdr:colOff>19050</xdr:colOff>
      <xdr:row>20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934075" y="3238500"/>
          <a:ext cx="9429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685800</xdr:colOff>
      <xdr:row>58</xdr:row>
      <xdr:rowOff>152400</xdr:rowOff>
    </xdr:from>
    <xdr:to>
      <xdr:col>8</xdr:col>
      <xdr:colOff>762000</xdr:colOff>
      <xdr:row>61</xdr:row>
      <xdr:rowOff>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5848350" y="7296150"/>
          <a:ext cx="9239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857250</xdr:colOff>
      <xdr:row>45</xdr:row>
      <xdr:rowOff>161925</xdr:rowOff>
    </xdr:from>
    <xdr:to>
      <xdr:col>8</xdr:col>
      <xdr:colOff>771525</xdr:colOff>
      <xdr:row>47</xdr:row>
      <xdr:rowOff>152400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876800" y="7286625"/>
          <a:ext cx="6096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857250</xdr:colOff>
      <xdr:row>45</xdr:row>
      <xdr:rowOff>161925</xdr:rowOff>
    </xdr:from>
    <xdr:to>
      <xdr:col>8</xdr:col>
      <xdr:colOff>771525</xdr:colOff>
      <xdr:row>47</xdr:row>
      <xdr:rowOff>152400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6134100" y="7924800"/>
          <a:ext cx="8286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857250</xdr:colOff>
      <xdr:row>18</xdr:row>
      <xdr:rowOff>0</xdr:rowOff>
    </xdr:from>
    <xdr:to>
      <xdr:col>9</xdr:col>
      <xdr:colOff>28575</xdr:colOff>
      <xdr:row>19</xdr:row>
      <xdr:rowOff>152400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134100" y="3133725"/>
          <a:ext cx="8667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857250</xdr:colOff>
      <xdr:row>45</xdr:row>
      <xdr:rowOff>161925</xdr:rowOff>
    </xdr:from>
    <xdr:to>
      <xdr:col>8</xdr:col>
      <xdr:colOff>771525</xdr:colOff>
      <xdr:row>47</xdr:row>
      <xdr:rowOff>152400</xdr:rowOff>
    </xdr:to>
    <xdr:sp macro="" textlink="">
      <xdr:nvSpPr>
        <xdr:cNvPr id="7" name="Line 5"/>
        <xdr:cNvSpPr>
          <a:spLocks noChangeShapeType="1"/>
        </xdr:cNvSpPr>
      </xdr:nvSpPr>
      <xdr:spPr bwMode="auto">
        <a:xfrm>
          <a:off x="6134100" y="7924800"/>
          <a:ext cx="82867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857250</xdr:colOff>
      <xdr:row>18</xdr:row>
      <xdr:rowOff>161925</xdr:rowOff>
    </xdr:from>
    <xdr:to>
      <xdr:col>9</xdr:col>
      <xdr:colOff>28575</xdr:colOff>
      <xdr:row>20</xdr:row>
      <xdr:rowOff>152400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6134100" y="3295650"/>
          <a:ext cx="8667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857250</xdr:colOff>
      <xdr:row>44</xdr:row>
      <xdr:rowOff>161925</xdr:rowOff>
    </xdr:from>
    <xdr:to>
      <xdr:col>8</xdr:col>
      <xdr:colOff>771525</xdr:colOff>
      <xdr:row>46</xdr:row>
      <xdr:rowOff>152400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6134100" y="7762875"/>
          <a:ext cx="82867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B123"/>
  <sheetViews>
    <sheetView showGridLines="0" tabSelected="1" zoomScale="90" zoomScaleNormal="90" workbookViewId="0">
      <pane xSplit="13" ySplit="5" topLeftCell="N6" activePane="bottomRight" state="frozen"/>
      <selection activeCell="A88" sqref="A88"/>
      <selection pane="topRight" activeCell="A88" sqref="A88"/>
      <selection pane="bottomLeft" activeCell="A88" sqref="A88"/>
      <selection pane="bottomRight" activeCell="N7" sqref="N7"/>
    </sheetView>
  </sheetViews>
  <sheetFormatPr defaultRowHeight="12.75"/>
  <cols>
    <col min="1" max="1" width="6" style="7" customWidth="1"/>
    <col min="2" max="2" width="4" style="7" customWidth="1"/>
    <col min="3" max="5" width="6" style="7" customWidth="1"/>
    <col min="6" max="9" width="3.85546875" style="7" customWidth="1"/>
    <col min="10" max="10" width="12.42578125" style="7" customWidth="1"/>
    <col min="11" max="11" width="12.85546875" style="7" customWidth="1"/>
    <col min="12" max="12" width="14.5703125" style="8" hidden="1" customWidth="1"/>
    <col min="13" max="13" width="14.7109375" style="8" hidden="1" customWidth="1"/>
    <col min="14" max="14" width="13.5703125" style="8" customWidth="1"/>
    <col min="15" max="15" width="14.42578125" style="8" bestFit="1" customWidth="1"/>
    <col min="16" max="16" width="13.85546875" style="8" bestFit="1" customWidth="1"/>
    <col min="17" max="17" width="8.5703125" style="8" hidden="1" customWidth="1"/>
    <col min="18" max="18" width="13.85546875" style="8" bestFit="1" customWidth="1"/>
    <col min="19" max="19" width="12.85546875" style="8" customWidth="1"/>
    <col min="20" max="20" width="17.140625" style="8" customWidth="1"/>
    <col min="21" max="21" width="5.140625" style="9" customWidth="1"/>
    <col min="22" max="22" width="10.28515625" style="10" customWidth="1"/>
    <col min="23" max="23" width="1.42578125" style="7" customWidth="1"/>
    <col min="24" max="24" width="10.42578125" style="10" customWidth="1"/>
    <col min="25" max="26" width="2" style="7" customWidth="1"/>
    <col min="27" max="27" width="2" style="11" customWidth="1"/>
    <col min="28" max="16384" width="9.140625" style="7"/>
  </cols>
  <sheetData>
    <row r="1" spans="1:27" s="1" customFormat="1" ht="13.5" thickBot="1">
      <c r="A1" s="1" t="s">
        <v>0</v>
      </c>
      <c r="L1" s="41"/>
      <c r="M1" s="33"/>
      <c r="N1" s="33"/>
      <c r="O1" s="15"/>
      <c r="P1" s="15"/>
      <c r="Q1" s="15"/>
      <c r="R1" s="15"/>
      <c r="S1" s="3" t="s">
        <v>1</v>
      </c>
      <c r="T1" s="562">
        <v>240575</v>
      </c>
      <c r="U1" s="4"/>
      <c r="V1" s="5"/>
      <c r="X1" s="5"/>
      <c r="AA1" s="6"/>
    </row>
    <row r="2" spans="1:27" ht="13.5" thickBot="1">
      <c r="A2" s="131"/>
      <c r="B2" s="131"/>
      <c r="C2" s="131"/>
      <c r="D2" s="131"/>
      <c r="E2" s="134" t="s">
        <v>108</v>
      </c>
      <c r="F2" s="135"/>
      <c r="G2" s="135"/>
      <c r="H2" s="135"/>
      <c r="I2" s="135"/>
      <c r="J2" s="135"/>
      <c r="K2" s="136"/>
      <c r="L2" s="136" t="s">
        <v>106</v>
      </c>
      <c r="M2" s="137" t="e">
        <f>(M10+M11+M12+M13+M14+M16)/M33</f>
        <v>#DIV/0!</v>
      </c>
      <c r="N2" s="137">
        <f>(N10+N11+N12+N13+N14+N16)/N33</f>
        <v>0.83359729621430922</v>
      </c>
      <c r="O2" s="137">
        <f>(O10+O11+O12+O13+O14+O16)/O33</f>
        <v>0.91599200429577454</v>
      </c>
      <c r="P2" s="137">
        <f>(P10+P11+P12+P13+P14+P16)/P33</f>
        <v>0.9078220878588622</v>
      </c>
      <c r="Q2" s="157"/>
      <c r="R2" s="157"/>
      <c r="T2" s="8" t="s">
        <v>2</v>
      </c>
    </row>
    <row r="3" spans="1:27" ht="13.5" thickBot="1">
      <c r="A3" s="144"/>
      <c r="B3" s="144"/>
      <c r="C3" s="144"/>
      <c r="D3" s="145"/>
      <c r="E3" s="133" t="s">
        <v>109</v>
      </c>
      <c r="F3" s="130"/>
      <c r="G3" s="130"/>
      <c r="H3" s="130"/>
      <c r="I3" s="130"/>
      <c r="J3" s="130"/>
      <c r="K3" s="130"/>
      <c r="L3" s="207" t="s">
        <v>107</v>
      </c>
      <c r="M3" s="208" t="e">
        <f>(M33-(M10+M11+M12+M13+M14+M16))/M33</f>
        <v>#DIV/0!</v>
      </c>
      <c r="N3" s="208">
        <f>(N33-(N10+N11+N12+N13+N14+N16))/N33</f>
        <v>0.1664027037856908</v>
      </c>
      <c r="O3" s="208">
        <f>(O33-(O10+O11+O12+O13+O14+O16))/O33</f>
        <v>8.400799570422543E-2</v>
      </c>
      <c r="P3" s="208">
        <f>(P33-(P10+P11+P12+P13+P14+P16))/P33</f>
        <v>9.2177912141137755E-2</v>
      </c>
      <c r="Q3" s="178"/>
      <c r="R3" s="177"/>
    </row>
    <row r="4" spans="1:27" s="1" customFormat="1">
      <c r="A4" s="129" t="s">
        <v>3</v>
      </c>
      <c r="B4" s="132"/>
      <c r="C4" s="12"/>
      <c r="D4" s="12"/>
      <c r="E4" s="12" t="s">
        <v>4</v>
      </c>
      <c r="F4" s="12"/>
      <c r="G4" s="12"/>
      <c r="H4" s="12"/>
      <c r="I4" s="12"/>
      <c r="J4" s="13"/>
      <c r="K4" s="129" t="s">
        <v>5</v>
      </c>
      <c r="L4" s="1050" t="s">
        <v>147</v>
      </c>
      <c r="M4" s="1051"/>
      <c r="N4" s="1047" t="s">
        <v>6</v>
      </c>
      <c r="O4" s="1048"/>
      <c r="P4" s="1049"/>
      <c r="Q4" s="206"/>
      <c r="R4" s="1042" t="s">
        <v>118</v>
      </c>
      <c r="S4" s="1042" t="s">
        <v>343</v>
      </c>
      <c r="T4" s="14" t="s">
        <v>7</v>
      </c>
      <c r="U4" s="15"/>
      <c r="V4" s="16" t="s">
        <v>8</v>
      </c>
      <c r="W4" s="17"/>
      <c r="X4" s="16" t="s">
        <v>9</v>
      </c>
      <c r="AA4" s="6"/>
    </row>
    <row r="5" spans="1:27" s="1" customFormat="1">
      <c r="A5" s="18"/>
      <c r="B5" s="19"/>
      <c r="C5" s="20"/>
      <c r="D5" s="20"/>
      <c r="E5" s="20"/>
      <c r="F5" s="20"/>
      <c r="G5" s="20"/>
      <c r="H5" s="20"/>
      <c r="I5" s="20"/>
      <c r="J5" s="21"/>
      <c r="K5" s="22"/>
      <c r="L5" s="205" t="s">
        <v>146</v>
      </c>
      <c r="M5" s="175" t="s">
        <v>81</v>
      </c>
      <c r="N5" s="23" t="s">
        <v>10</v>
      </c>
      <c r="O5" s="23" t="s">
        <v>11</v>
      </c>
      <c r="P5" s="175" t="s">
        <v>81</v>
      </c>
      <c r="Q5" s="23" t="s">
        <v>118</v>
      </c>
      <c r="R5" s="1043"/>
      <c r="S5" s="1043"/>
      <c r="T5" s="24" t="s">
        <v>13</v>
      </c>
      <c r="U5" s="15"/>
      <c r="V5" s="25" t="s">
        <v>14</v>
      </c>
      <c r="W5" s="17"/>
      <c r="X5" s="26" t="s">
        <v>15</v>
      </c>
      <c r="AA5" s="6"/>
    </row>
    <row r="6" spans="1:27" s="1" customFormat="1">
      <c r="A6" s="27" t="s">
        <v>16</v>
      </c>
      <c r="B6" s="28"/>
      <c r="C6" s="29"/>
      <c r="D6" s="29"/>
      <c r="E6" s="29"/>
      <c r="F6" s="29"/>
      <c r="G6" s="29"/>
      <c r="H6" s="29"/>
      <c r="I6" s="29"/>
      <c r="J6" s="30"/>
      <c r="K6" s="31"/>
      <c r="L6" s="74"/>
      <c r="M6" s="74"/>
      <c r="N6" s="329"/>
      <c r="O6" s="329"/>
      <c r="P6" s="329"/>
      <c r="Q6" s="329"/>
      <c r="R6" s="329"/>
      <c r="S6" s="39"/>
      <c r="T6" s="32"/>
      <c r="U6" s="33"/>
      <c r="V6" s="34"/>
      <c r="X6" s="34"/>
      <c r="AA6" s="6"/>
    </row>
    <row r="7" spans="1:27" s="43" customFormat="1">
      <c r="A7" s="35">
        <v>1.1000000000000001</v>
      </c>
      <c r="B7" s="36" t="s">
        <v>128</v>
      </c>
      <c r="C7" s="37"/>
      <c r="D7" s="37"/>
      <c r="E7" s="37"/>
      <c r="F7" s="37"/>
      <c r="G7" s="37"/>
      <c r="H7" s="37"/>
      <c r="I7" s="37"/>
      <c r="J7" s="38"/>
      <c r="K7" s="174" t="s">
        <v>17</v>
      </c>
      <c r="L7" s="74"/>
      <c r="M7" s="74"/>
      <c r="N7" s="329"/>
      <c r="O7" s="329"/>
      <c r="P7" s="329"/>
      <c r="Q7" s="329"/>
      <c r="R7" s="329">
        <v>0</v>
      </c>
      <c r="S7" s="252">
        <v>0</v>
      </c>
      <c r="T7" s="40">
        <v>303950</v>
      </c>
      <c r="U7" s="41"/>
      <c r="V7" s="42">
        <f>T7/$T$31</f>
        <v>2.2718927150162955E-2</v>
      </c>
      <c r="X7" s="42">
        <f>T7/$T$88</f>
        <v>2.160068536263466E-2</v>
      </c>
      <c r="AA7" s="44"/>
    </row>
    <row r="8" spans="1:27" s="43" customFormat="1">
      <c r="A8" s="35">
        <v>1.2</v>
      </c>
      <c r="B8" s="36" t="s">
        <v>206</v>
      </c>
      <c r="C8" s="37"/>
      <c r="D8" s="37"/>
      <c r="E8" s="37"/>
      <c r="F8" s="37"/>
      <c r="G8" s="37"/>
      <c r="H8" s="37"/>
      <c r="I8" s="37"/>
      <c r="J8" s="38"/>
      <c r="K8" s="35" t="s">
        <v>17</v>
      </c>
      <c r="L8" s="74"/>
      <c r="M8" s="74"/>
      <c r="N8" s="329"/>
      <c r="O8" s="329"/>
      <c r="P8" s="329"/>
      <c r="Q8" s="329"/>
      <c r="R8" s="329">
        <v>0</v>
      </c>
      <c r="S8" s="252">
        <v>0</v>
      </c>
      <c r="T8" s="40">
        <v>54437</v>
      </c>
      <c r="U8" s="41"/>
      <c r="V8" s="42">
        <f t="shared" ref="V8:V30" si="0">T8/$T$31</f>
        <v>4.068926590799213E-3</v>
      </c>
      <c r="X8" s="42">
        <f t="shared" ref="X8:X30" si="1">T8/$T$88</f>
        <v>3.8686511238221516E-3</v>
      </c>
      <c r="AA8" s="44"/>
    </row>
    <row r="9" spans="1:27" s="43" customFormat="1">
      <c r="A9" s="35">
        <v>1.3</v>
      </c>
      <c r="B9" s="36" t="s">
        <v>18</v>
      </c>
      <c r="C9" s="37"/>
      <c r="D9" s="37"/>
      <c r="E9" s="37"/>
      <c r="F9" s="37"/>
      <c r="G9" s="37"/>
      <c r="H9" s="37"/>
      <c r="I9" s="37"/>
      <c r="J9" s="38"/>
      <c r="K9" s="35" t="s">
        <v>17</v>
      </c>
      <c r="L9" s="74"/>
      <c r="M9" s="74"/>
      <c r="N9" s="329"/>
      <c r="O9" s="329"/>
      <c r="P9" s="329"/>
      <c r="Q9" s="329"/>
      <c r="R9" s="329">
        <v>0</v>
      </c>
      <c r="S9" s="252">
        <v>0</v>
      </c>
      <c r="T9" s="40">
        <v>13350</v>
      </c>
      <c r="U9" s="41"/>
      <c r="V9" s="42">
        <f t="shared" si="0"/>
        <v>9.9785384916820357E-4</v>
      </c>
      <c r="X9" s="42">
        <f t="shared" si="1"/>
        <v>9.4873877147942979E-4</v>
      </c>
      <c r="AA9" s="44"/>
    </row>
    <row r="10" spans="1:27" s="43" customFormat="1">
      <c r="A10" s="35">
        <v>1.4</v>
      </c>
      <c r="B10" s="36" t="s">
        <v>198</v>
      </c>
      <c r="C10" s="37"/>
      <c r="D10" s="37"/>
      <c r="E10" s="37"/>
      <c r="F10" s="37"/>
      <c r="G10" s="37"/>
      <c r="H10" s="37"/>
      <c r="I10" s="37"/>
      <c r="J10" s="38"/>
      <c r="K10" s="35" t="s">
        <v>17</v>
      </c>
      <c r="L10" s="74"/>
      <c r="M10" s="74"/>
      <c r="N10" s="1026">
        <v>3075157.2</v>
      </c>
      <c r="O10" s="272">
        <v>6408281.2199999997</v>
      </c>
      <c r="P10" s="1026">
        <v>3075933.51</v>
      </c>
      <c r="Q10" s="329">
        <v>0</v>
      </c>
      <c r="R10" s="329">
        <v>0</v>
      </c>
      <c r="S10" s="252">
        <v>0</v>
      </c>
      <c r="T10" s="40">
        <v>12559371.93</v>
      </c>
      <c r="U10" s="41"/>
      <c r="V10" s="42">
        <f t="shared" si="0"/>
        <v>0.93875787441839609</v>
      </c>
      <c r="X10" s="42">
        <f t="shared" si="1"/>
        <v>0.89255154272819737</v>
      </c>
      <c r="AA10" s="44"/>
    </row>
    <row r="11" spans="1:27" s="43" customFormat="1">
      <c r="A11" s="35">
        <v>1.5</v>
      </c>
      <c r="B11" s="36" t="s">
        <v>199</v>
      </c>
      <c r="C11" s="37"/>
      <c r="D11" s="37"/>
      <c r="E11" s="37"/>
      <c r="F11" s="37"/>
      <c r="G11" s="37"/>
      <c r="H11" s="37"/>
      <c r="I11" s="37"/>
      <c r="J11" s="38"/>
      <c r="K11" s="35" t="s">
        <v>17</v>
      </c>
      <c r="L11" s="74"/>
      <c r="M11" s="74"/>
      <c r="N11" s="329">
        <v>139866</v>
      </c>
      <c r="O11" s="329">
        <v>120628</v>
      </c>
      <c r="P11" s="329">
        <v>69681</v>
      </c>
      <c r="Q11" s="329">
        <v>0</v>
      </c>
      <c r="R11" s="329">
        <v>0</v>
      </c>
      <c r="S11" s="252">
        <v>0</v>
      </c>
      <c r="T11" s="40">
        <v>330175</v>
      </c>
      <c r="U11" s="41"/>
      <c r="V11" s="42">
        <f t="shared" si="0"/>
        <v>2.4679130685326709E-2</v>
      </c>
      <c r="X11" s="42">
        <f t="shared" si="1"/>
        <v>2.3464406282638257E-2</v>
      </c>
      <c r="AA11" s="44"/>
    </row>
    <row r="12" spans="1:27" s="43" customFormat="1">
      <c r="A12" s="35">
        <v>1.6</v>
      </c>
      <c r="B12" s="259" t="s">
        <v>426</v>
      </c>
      <c r="C12" s="37"/>
      <c r="D12" s="37"/>
      <c r="E12" s="37"/>
      <c r="F12" s="37"/>
      <c r="G12" s="37"/>
      <c r="H12" s="37"/>
      <c r="I12" s="37"/>
      <c r="J12" s="38"/>
      <c r="K12" s="174" t="s">
        <v>17</v>
      </c>
      <c r="L12" s="74"/>
      <c r="M12" s="74"/>
      <c r="N12" s="272">
        <v>0</v>
      </c>
      <c r="O12" s="272">
        <v>0</v>
      </c>
      <c r="P12" s="330">
        <v>0</v>
      </c>
      <c r="Q12" s="330">
        <v>0</v>
      </c>
      <c r="R12" s="330">
        <v>0</v>
      </c>
      <c r="S12" s="251">
        <v>0</v>
      </c>
      <c r="T12" s="218">
        <v>0</v>
      </c>
      <c r="U12" s="41"/>
      <c r="V12" s="42">
        <f t="shared" si="0"/>
        <v>0</v>
      </c>
      <c r="X12" s="42">
        <f t="shared" si="1"/>
        <v>0</v>
      </c>
      <c r="AA12" s="44"/>
    </row>
    <row r="13" spans="1:27" s="43" customFormat="1">
      <c r="A13" s="35">
        <v>1.7</v>
      </c>
      <c r="B13" s="36" t="s">
        <v>20</v>
      </c>
      <c r="C13" s="37"/>
      <c r="D13" s="37"/>
      <c r="E13" s="37"/>
      <c r="F13" s="37"/>
      <c r="G13" s="37"/>
      <c r="H13" s="37"/>
      <c r="I13" s="37"/>
      <c r="J13" s="38"/>
      <c r="K13" s="35" t="s">
        <v>17</v>
      </c>
      <c r="L13" s="74"/>
      <c r="M13" s="74"/>
      <c r="N13" s="272">
        <v>28200</v>
      </c>
      <c r="O13" s="272">
        <v>0</v>
      </c>
      <c r="P13" s="272">
        <v>0</v>
      </c>
      <c r="Q13" s="330"/>
      <c r="R13" s="330"/>
      <c r="S13" s="251"/>
      <c r="T13" s="218">
        <v>28200</v>
      </c>
      <c r="U13" s="41"/>
      <c r="V13" s="42">
        <f t="shared" si="0"/>
        <v>2.1078261083553062E-3</v>
      </c>
      <c r="X13" s="42">
        <f t="shared" si="1"/>
        <v>2.0040774049228404E-3</v>
      </c>
      <c r="AA13" s="44"/>
    </row>
    <row r="14" spans="1:27">
      <c r="A14" s="35">
        <v>1.8</v>
      </c>
      <c r="B14" s="46" t="s">
        <v>21</v>
      </c>
      <c r="C14" s="47"/>
      <c r="D14" s="47"/>
      <c r="E14" s="47"/>
      <c r="F14" s="47"/>
      <c r="G14" s="47"/>
      <c r="H14" s="47"/>
      <c r="I14" s="47"/>
      <c r="J14" s="48"/>
      <c r="K14" s="45" t="s">
        <v>17</v>
      </c>
      <c r="L14" s="74"/>
      <c r="M14" s="74"/>
      <c r="N14" s="272">
        <v>1000</v>
      </c>
      <c r="O14" s="330"/>
      <c r="P14" s="272"/>
      <c r="Q14" s="330"/>
      <c r="R14" s="330"/>
      <c r="S14" s="251"/>
      <c r="T14" s="218">
        <v>1000</v>
      </c>
      <c r="U14" s="41"/>
      <c r="V14" s="50">
        <f t="shared" si="0"/>
        <v>7.4745606679266181E-5</v>
      </c>
      <c r="X14" s="50">
        <f t="shared" si="1"/>
        <v>7.1066574642653923E-5</v>
      </c>
    </row>
    <row r="15" spans="1:27" s="43" customFormat="1">
      <c r="A15" s="216">
        <v>1.9</v>
      </c>
      <c r="B15" s="36" t="s">
        <v>153</v>
      </c>
      <c r="C15" s="37"/>
      <c r="D15" s="37"/>
      <c r="E15" s="37"/>
      <c r="F15" s="37"/>
      <c r="G15" s="37"/>
      <c r="H15" s="37"/>
      <c r="I15" s="37"/>
      <c r="J15" s="38"/>
      <c r="K15" s="35" t="s">
        <v>17</v>
      </c>
      <c r="L15" s="74"/>
      <c r="M15" s="74"/>
      <c r="N15" s="272">
        <v>7788</v>
      </c>
      <c r="O15" s="272">
        <v>3636</v>
      </c>
      <c r="P15" s="272">
        <v>703.83</v>
      </c>
      <c r="Q15" s="330"/>
      <c r="R15" s="330"/>
      <c r="S15" s="250"/>
      <c r="T15" s="218">
        <v>12127.83</v>
      </c>
      <c r="U15" s="41"/>
      <c r="V15" s="42">
        <f t="shared" si="0"/>
        <v>9.0650201105300476E-4</v>
      </c>
      <c r="X15" s="42">
        <f t="shared" si="1"/>
        <v>8.6188333594841744E-4</v>
      </c>
      <c r="AA15" s="44"/>
    </row>
    <row r="16" spans="1:27" s="43" customFormat="1">
      <c r="A16" s="210">
        <v>1.1000000000000001</v>
      </c>
      <c r="B16" s="115" t="s">
        <v>152</v>
      </c>
      <c r="C16" s="37"/>
      <c r="D16" s="37"/>
      <c r="E16" s="37"/>
      <c r="F16" s="37"/>
      <c r="G16" s="37"/>
      <c r="H16" s="37"/>
      <c r="I16" s="37"/>
      <c r="J16" s="38"/>
      <c r="K16" s="35" t="s">
        <v>17</v>
      </c>
      <c r="L16" s="74"/>
      <c r="M16" s="74"/>
      <c r="N16" s="330"/>
      <c r="O16" s="330"/>
      <c r="P16" s="272"/>
      <c r="Q16" s="330"/>
      <c r="R16" s="330"/>
      <c r="S16" s="250"/>
      <c r="T16" s="218">
        <v>0</v>
      </c>
      <c r="U16" s="41"/>
      <c r="V16" s="50">
        <f t="shared" si="0"/>
        <v>0</v>
      </c>
      <c r="X16" s="50">
        <f t="shared" si="1"/>
        <v>0</v>
      </c>
      <c r="AA16" s="44"/>
    </row>
    <row r="17" spans="1:27" s="43" customFormat="1">
      <c r="A17" s="210">
        <v>1.1100000000000001</v>
      </c>
      <c r="B17" s="115" t="s">
        <v>154</v>
      </c>
      <c r="C17" s="37"/>
      <c r="D17" s="37"/>
      <c r="E17" s="37"/>
      <c r="F17" s="37"/>
      <c r="G17" s="37"/>
      <c r="H17" s="37"/>
      <c r="I17" s="37"/>
      <c r="J17" s="38"/>
      <c r="K17" s="35" t="s">
        <v>17</v>
      </c>
      <c r="L17" s="74"/>
      <c r="M17" s="74"/>
      <c r="N17" s="330"/>
      <c r="O17" s="330"/>
      <c r="P17" s="330"/>
      <c r="Q17" s="330"/>
      <c r="R17" s="330"/>
      <c r="S17" s="250"/>
      <c r="T17" s="218">
        <v>0</v>
      </c>
      <c r="U17" s="41"/>
      <c r="V17" s="42">
        <f t="shared" si="0"/>
        <v>0</v>
      </c>
      <c r="X17" s="42">
        <f t="shared" si="1"/>
        <v>0</v>
      </c>
      <c r="AA17" s="44"/>
    </row>
    <row r="18" spans="1:27" s="43" customFormat="1">
      <c r="A18" s="210">
        <v>1.1200000000000001</v>
      </c>
      <c r="B18" s="115" t="s">
        <v>149</v>
      </c>
      <c r="C18" s="37"/>
      <c r="D18" s="37"/>
      <c r="E18" s="37"/>
      <c r="F18" s="37"/>
      <c r="G18" s="37"/>
      <c r="H18" s="37"/>
      <c r="I18" s="37"/>
      <c r="J18" s="38"/>
      <c r="K18" s="35" t="s">
        <v>17</v>
      </c>
      <c r="L18" s="74"/>
      <c r="M18" s="74"/>
      <c r="N18" s="330"/>
      <c r="O18" s="330"/>
      <c r="P18" s="330"/>
      <c r="Q18" s="330"/>
      <c r="R18" s="330"/>
      <c r="S18" s="250"/>
      <c r="T18" s="218">
        <v>0</v>
      </c>
      <c r="U18" s="41"/>
      <c r="V18" s="42">
        <f t="shared" si="0"/>
        <v>0</v>
      </c>
      <c r="X18" s="42">
        <f t="shared" si="1"/>
        <v>0</v>
      </c>
      <c r="AA18" s="44"/>
    </row>
    <row r="19" spans="1:27">
      <c r="A19" s="217">
        <v>1.1299999999999999</v>
      </c>
      <c r="B19" s="212" t="s">
        <v>150</v>
      </c>
      <c r="C19" s="213"/>
      <c r="D19" s="213"/>
      <c r="E19" s="213"/>
      <c r="F19" s="213"/>
      <c r="G19" s="213"/>
      <c r="H19" s="213"/>
      <c r="I19" s="213"/>
      <c r="J19" s="214"/>
      <c r="K19" s="215" t="s">
        <v>17</v>
      </c>
      <c r="L19" s="74"/>
      <c r="M19" s="74"/>
      <c r="N19" s="330"/>
      <c r="O19" s="330"/>
      <c r="P19" s="1036"/>
      <c r="Q19" s="330"/>
      <c r="R19" s="330"/>
      <c r="S19" s="250"/>
      <c r="T19" s="218">
        <v>0</v>
      </c>
      <c r="U19" s="41"/>
      <c r="V19" s="50">
        <f t="shared" si="0"/>
        <v>0</v>
      </c>
      <c r="X19" s="50">
        <f t="shared" si="1"/>
        <v>0</v>
      </c>
    </row>
    <row r="20" spans="1:27">
      <c r="A20" s="210">
        <v>1.1399999999999999</v>
      </c>
      <c r="B20" s="46" t="s">
        <v>23</v>
      </c>
      <c r="C20" s="47"/>
      <c r="D20" s="47"/>
      <c r="E20" s="47"/>
      <c r="F20" s="47"/>
      <c r="G20" s="47"/>
      <c r="H20" s="47"/>
      <c r="I20" s="47"/>
      <c r="J20" s="48"/>
      <c r="K20" s="45" t="s">
        <v>17</v>
      </c>
      <c r="L20" s="74"/>
      <c r="M20" s="74"/>
      <c r="N20" s="330">
        <v>0</v>
      </c>
      <c r="O20" s="330">
        <v>664</v>
      </c>
      <c r="P20" s="330">
        <v>1108</v>
      </c>
      <c r="Q20" s="330"/>
      <c r="R20" s="330"/>
      <c r="S20" s="250"/>
      <c r="T20" s="218">
        <v>1772</v>
      </c>
      <c r="U20" s="41"/>
      <c r="V20" s="50">
        <f t="shared" si="0"/>
        <v>1.3244921503565967E-4</v>
      </c>
      <c r="X20" s="50">
        <f t="shared" si="1"/>
        <v>1.2592997026678274E-4</v>
      </c>
    </row>
    <row r="21" spans="1:27">
      <c r="A21" s="210">
        <v>1.1499999999999999</v>
      </c>
      <c r="B21" s="46" t="s">
        <v>25</v>
      </c>
      <c r="C21" s="47"/>
      <c r="D21" s="47"/>
      <c r="E21" s="47"/>
      <c r="F21" s="47"/>
      <c r="G21" s="47"/>
      <c r="H21" s="47"/>
      <c r="I21" s="47"/>
      <c r="J21" s="48"/>
      <c r="K21" s="45" t="s">
        <v>17</v>
      </c>
      <c r="L21" s="74"/>
      <c r="M21" s="74"/>
      <c r="N21" s="330"/>
      <c r="O21" s="330"/>
      <c r="P21" s="330"/>
      <c r="Q21" s="330"/>
      <c r="R21" s="330"/>
      <c r="S21" s="250"/>
      <c r="T21" s="218">
        <v>0</v>
      </c>
      <c r="U21" s="41"/>
      <c r="V21" s="50">
        <f t="shared" si="0"/>
        <v>0</v>
      </c>
      <c r="X21" s="50">
        <f t="shared" si="1"/>
        <v>0</v>
      </c>
    </row>
    <row r="22" spans="1:27">
      <c r="A22" s="210">
        <v>1.1599999999999999</v>
      </c>
      <c r="B22" s="259" t="s">
        <v>406</v>
      </c>
      <c r="C22" s="47"/>
      <c r="D22" s="47"/>
      <c r="E22" s="47"/>
      <c r="F22" s="47"/>
      <c r="G22" s="47"/>
      <c r="H22" s="47"/>
      <c r="I22" s="47"/>
      <c r="J22" s="48"/>
      <c r="K22" s="45" t="s">
        <v>17</v>
      </c>
      <c r="L22" s="74"/>
      <c r="M22" s="74"/>
      <c r="N22" s="330">
        <v>0</v>
      </c>
      <c r="O22" s="330"/>
      <c r="P22" s="330">
        <v>0</v>
      </c>
      <c r="Q22" s="330"/>
      <c r="R22" s="330"/>
      <c r="S22" s="250"/>
      <c r="T22" s="218">
        <v>0</v>
      </c>
      <c r="U22" s="41"/>
      <c r="V22" s="50">
        <f t="shared" si="0"/>
        <v>0</v>
      </c>
      <c r="X22" s="50">
        <f t="shared" si="1"/>
        <v>0</v>
      </c>
    </row>
    <row r="23" spans="1:27">
      <c r="A23" s="210">
        <v>1.17</v>
      </c>
      <c r="B23" s="46" t="s">
        <v>151</v>
      </c>
      <c r="C23" s="47"/>
      <c r="D23" s="47"/>
      <c r="E23" s="47"/>
      <c r="F23" s="47"/>
      <c r="G23" s="47"/>
      <c r="H23" s="47"/>
      <c r="I23" s="47"/>
      <c r="J23" s="48"/>
      <c r="K23" s="45" t="s">
        <v>17</v>
      </c>
      <c r="L23" s="74"/>
      <c r="M23" s="74"/>
      <c r="N23" s="330"/>
      <c r="O23" s="330"/>
      <c r="P23" s="330"/>
      <c r="Q23" s="330"/>
      <c r="R23" s="330"/>
      <c r="S23" s="251"/>
      <c r="T23" s="218">
        <v>0</v>
      </c>
      <c r="U23" s="41"/>
      <c r="V23" s="50">
        <f t="shared" si="0"/>
        <v>0</v>
      </c>
      <c r="X23" s="50">
        <f t="shared" si="1"/>
        <v>0</v>
      </c>
    </row>
    <row r="24" spans="1:27" s="43" customFormat="1">
      <c r="A24" s="210">
        <v>1.18</v>
      </c>
      <c r="B24" s="36" t="s">
        <v>124</v>
      </c>
      <c r="C24" s="37"/>
      <c r="D24" s="37"/>
      <c r="E24" s="37"/>
      <c r="F24" s="37"/>
      <c r="G24" s="37"/>
      <c r="H24" s="37"/>
      <c r="I24" s="37"/>
      <c r="J24" s="38"/>
      <c r="K24" s="35" t="s">
        <v>17</v>
      </c>
      <c r="L24" s="74"/>
      <c r="M24" s="74"/>
      <c r="N24" s="330"/>
      <c r="O24" s="330"/>
      <c r="P24" s="272"/>
      <c r="Q24" s="330"/>
      <c r="R24" s="330"/>
      <c r="S24" s="251"/>
      <c r="T24" s="218">
        <v>0</v>
      </c>
      <c r="U24" s="41"/>
      <c r="V24" s="42">
        <f t="shared" si="0"/>
        <v>0</v>
      </c>
      <c r="X24" s="42">
        <f t="shared" si="1"/>
        <v>0</v>
      </c>
      <c r="AA24" s="44"/>
    </row>
    <row r="25" spans="1:27" s="43" customFormat="1">
      <c r="A25" s="210">
        <v>1.19</v>
      </c>
      <c r="B25" s="36" t="s">
        <v>26</v>
      </c>
      <c r="C25" s="37"/>
      <c r="D25" s="37"/>
      <c r="E25" s="37"/>
      <c r="F25" s="37"/>
      <c r="G25" s="37"/>
      <c r="H25" s="37"/>
      <c r="I25" s="37"/>
      <c r="J25" s="38"/>
      <c r="K25" s="35" t="s">
        <v>17</v>
      </c>
      <c r="L25" s="74"/>
      <c r="M25" s="74"/>
      <c r="N25" s="330">
        <v>5616</v>
      </c>
      <c r="O25" s="330"/>
      <c r="P25" s="330">
        <v>794</v>
      </c>
      <c r="Q25" s="330"/>
      <c r="R25" s="330"/>
      <c r="S25" s="251"/>
      <c r="T25" s="218">
        <v>6410</v>
      </c>
      <c r="U25" s="41"/>
      <c r="V25" s="42">
        <f t="shared" si="0"/>
        <v>4.7911933881409621E-4</v>
      </c>
      <c r="X25" s="42">
        <f t="shared" si="1"/>
        <v>4.5553674345941164E-4</v>
      </c>
      <c r="AA25" s="44"/>
    </row>
    <row r="26" spans="1:27">
      <c r="A26" s="210">
        <v>1.2</v>
      </c>
      <c r="B26" s="36" t="s">
        <v>156</v>
      </c>
      <c r="C26" s="37"/>
      <c r="D26" s="37"/>
      <c r="E26" s="37"/>
      <c r="F26" s="37"/>
      <c r="G26" s="37"/>
      <c r="H26" s="37"/>
      <c r="I26" s="37"/>
      <c r="J26" s="38"/>
      <c r="K26" s="174" t="s">
        <v>17</v>
      </c>
      <c r="L26" s="74"/>
      <c r="M26" s="74"/>
      <c r="N26" s="1037"/>
      <c r="O26" s="330"/>
      <c r="P26" s="330"/>
      <c r="Q26" s="330"/>
      <c r="R26" s="330"/>
      <c r="S26" s="251"/>
      <c r="T26" s="218">
        <v>0</v>
      </c>
      <c r="U26" s="41"/>
      <c r="V26" s="50">
        <f t="shared" si="0"/>
        <v>0</v>
      </c>
      <c r="X26" s="50">
        <f>T26/$T$88</f>
        <v>0</v>
      </c>
    </row>
    <row r="27" spans="1:27">
      <c r="A27" s="210">
        <v>1.21</v>
      </c>
      <c r="B27" s="36" t="s">
        <v>28</v>
      </c>
      <c r="C27" s="37"/>
      <c r="D27" s="37"/>
      <c r="E27" s="37"/>
      <c r="F27" s="37"/>
      <c r="G27" s="37"/>
      <c r="H27" s="37"/>
      <c r="I27" s="37"/>
      <c r="J27" s="38"/>
      <c r="K27" s="35" t="s">
        <v>17</v>
      </c>
      <c r="L27" s="74"/>
      <c r="M27" s="74"/>
      <c r="N27" s="330"/>
      <c r="O27" s="330"/>
      <c r="P27" s="330"/>
      <c r="Q27" s="330"/>
      <c r="R27" s="330"/>
      <c r="S27" s="251"/>
      <c r="T27" s="218">
        <v>0</v>
      </c>
      <c r="U27" s="41"/>
      <c r="V27" s="50">
        <f t="shared" si="0"/>
        <v>0</v>
      </c>
      <c r="X27" s="50">
        <f t="shared" si="1"/>
        <v>0</v>
      </c>
    </row>
    <row r="28" spans="1:27">
      <c r="A28" s="210">
        <v>1.22</v>
      </c>
      <c r="B28" s="46" t="s">
        <v>29</v>
      </c>
      <c r="C28" s="37"/>
      <c r="D28" s="37"/>
      <c r="E28" s="37"/>
      <c r="F28" s="37"/>
      <c r="G28" s="37"/>
      <c r="H28" s="37"/>
      <c r="I28" s="37"/>
      <c r="J28" s="38"/>
      <c r="K28" s="45" t="s">
        <v>17</v>
      </c>
      <c r="L28" s="74"/>
      <c r="M28" s="74"/>
      <c r="N28" s="330">
        <v>0</v>
      </c>
      <c r="O28" s="330">
        <v>292</v>
      </c>
      <c r="P28" s="330">
        <v>963</v>
      </c>
      <c r="Q28" s="330"/>
      <c r="R28" s="330"/>
      <c r="S28" s="251"/>
      <c r="T28" s="218">
        <v>1255</v>
      </c>
      <c r="U28" s="41"/>
      <c r="V28" s="50">
        <f>T28/$T$31</f>
        <v>9.3805736382479056E-5</v>
      </c>
      <c r="X28" s="50">
        <f t="shared" si="1"/>
        <v>8.9188551176530673E-5</v>
      </c>
    </row>
    <row r="29" spans="1:27" s="188" customFormat="1">
      <c r="A29" s="210">
        <v>1.23</v>
      </c>
      <c r="B29" s="181" t="s">
        <v>145</v>
      </c>
      <c r="C29" s="182"/>
      <c r="D29" s="182"/>
      <c r="E29" s="182"/>
      <c r="F29" s="183"/>
      <c r="G29" s="183"/>
      <c r="H29" s="183"/>
      <c r="I29" s="183"/>
      <c r="J29" s="184"/>
      <c r="K29" s="185" t="s">
        <v>17</v>
      </c>
      <c r="L29" s="74"/>
      <c r="M29" s="74"/>
      <c r="N29" s="272">
        <v>1262.9554655870445</v>
      </c>
      <c r="O29" s="272">
        <v>0</v>
      </c>
      <c r="P29" s="272">
        <v>0</v>
      </c>
      <c r="Q29" s="330"/>
      <c r="R29" s="330"/>
      <c r="S29" s="251"/>
      <c r="T29" s="237">
        <v>1262.9554655870445</v>
      </c>
      <c r="U29" s="186"/>
      <c r="V29" s="187">
        <f t="shared" si="0"/>
        <v>9.4400372484198722E-5</v>
      </c>
      <c r="X29" s="187">
        <f t="shared" si="1"/>
        <v>8.9753918865489426E-5</v>
      </c>
      <c r="AA29" s="189"/>
    </row>
    <row r="30" spans="1:27" s="200" customFormat="1">
      <c r="A30" s="210">
        <v>1.24</v>
      </c>
      <c r="B30" s="196" t="s">
        <v>30</v>
      </c>
      <c r="C30" s="197"/>
      <c r="D30" s="197"/>
      <c r="E30" s="197"/>
      <c r="F30" s="197"/>
      <c r="G30" s="197"/>
      <c r="H30" s="197"/>
      <c r="I30" s="197"/>
      <c r="J30" s="198"/>
      <c r="K30" s="199" t="s">
        <v>17</v>
      </c>
      <c r="L30" s="74"/>
      <c r="M30" s="74"/>
      <c r="N30" s="330">
        <v>29564.39351247601</v>
      </c>
      <c r="O30" s="330">
        <v>32504.261650671786</v>
      </c>
      <c r="P30" s="330">
        <v>3332.3648368522072</v>
      </c>
      <c r="Q30" s="330">
        <v>0</v>
      </c>
      <c r="R30" s="330"/>
      <c r="S30" s="251"/>
      <c r="T30" s="272">
        <v>65401.02</v>
      </c>
      <c r="U30" s="273"/>
      <c r="V30" s="274">
        <f t="shared" si="0"/>
        <v>4.8884389173428208E-3</v>
      </c>
      <c r="W30" s="275"/>
      <c r="X30" s="274">
        <f t="shared" si="1"/>
        <v>4.6478264695357019E-3</v>
      </c>
      <c r="AA30" s="201"/>
    </row>
    <row r="31" spans="1:27" s="1" customFormat="1">
      <c r="A31" s="52" t="s">
        <v>31</v>
      </c>
      <c r="B31" s="53"/>
      <c r="C31" s="54"/>
      <c r="D31" s="54"/>
      <c r="E31" s="54"/>
      <c r="F31" s="54"/>
      <c r="G31" s="54"/>
      <c r="H31" s="54"/>
      <c r="I31" s="54"/>
      <c r="J31" s="55"/>
      <c r="K31" s="203">
        <v>0</v>
      </c>
      <c r="L31" s="57">
        <f>SUM(L7:L30)</f>
        <v>0</v>
      </c>
      <c r="M31" s="57">
        <f>SUM(M7:M30)</f>
        <v>0</v>
      </c>
      <c r="N31" s="57">
        <v>3422688.5489780633</v>
      </c>
      <c r="O31" s="57">
        <v>6740882.4816506719</v>
      </c>
      <c r="P31" s="57">
        <v>3215141.7048368519</v>
      </c>
      <c r="Q31" s="57">
        <v>0</v>
      </c>
      <c r="R31" s="57">
        <v>0</v>
      </c>
      <c r="S31" s="57">
        <v>0</v>
      </c>
      <c r="T31" s="57">
        <v>13378712.735465586</v>
      </c>
      <c r="U31" s="33"/>
      <c r="V31" s="58">
        <f>SUM(V7:V30)</f>
        <v>1</v>
      </c>
      <c r="X31" s="58">
        <f>SUM(X7:X30)</f>
        <v>0.95077928723758964</v>
      </c>
      <c r="AA31" s="6"/>
    </row>
    <row r="32" spans="1:27" s="64" customFormat="1">
      <c r="A32" s="59"/>
      <c r="B32" s="59" t="s">
        <v>32</v>
      </c>
      <c r="C32" s="60"/>
      <c r="D32" s="60"/>
      <c r="E32" s="60"/>
      <c r="F32" s="60"/>
      <c r="G32" s="60"/>
      <c r="H32" s="60"/>
      <c r="I32" s="60"/>
      <c r="J32" s="61"/>
      <c r="K32" s="62" t="s">
        <v>17</v>
      </c>
      <c r="L32" s="74"/>
      <c r="M32" s="74"/>
      <c r="N32" s="1026">
        <v>0</v>
      </c>
      <c r="O32" s="1026">
        <v>24000</v>
      </c>
      <c r="P32" s="1026">
        <v>0</v>
      </c>
      <c r="Q32" s="1026"/>
      <c r="R32" s="1026">
        <v>0</v>
      </c>
      <c r="S32" s="1026">
        <v>0</v>
      </c>
      <c r="T32" s="63">
        <v>24000</v>
      </c>
      <c r="U32" s="33"/>
      <c r="V32" s="269">
        <f>T32/$T$39</f>
        <v>1.6416952798307021E-3</v>
      </c>
      <c r="X32" s="63">
        <v>0</v>
      </c>
      <c r="AA32" s="65"/>
    </row>
    <row r="33" spans="1:27" s="64" customFormat="1">
      <c r="A33" s="59"/>
      <c r="B33" s="59" t="s">
        <v>407</v>
      </c>
      <c r="C33" s="60"/>
      <c r="D33" s="60"/>
      <c r="E33" s="60"/>
      <c r="F33" s="60" t="s">
        <v>409</v>
      </c>
      <c r="G33" s="60"/>
      <c r="H33" s="60"/>
      <c r="I33" s="60"/>
      <c r="J33" s="61"/>
      <c r="K33" s="62" t="s">
        <v>17</v>
      </c>
      <c r="L33" s="74"/>
      <c r="M33" s="74"/>
      <c r="N33" s="1026">
        <v>3891835.0800000005</v>
      </c>
      <c r="O33" s="1026">
        <v>7127692.3700000001</v>
      </c>
      <c r="P33" s="1026">
        <v>3465012.09</v>
      </c>
      <c r="Q33" s="1026"/>
      <c r="R33" s="1026">
        <v>0</v>
      </c>
      <c r="S33" s="1026">
        <v>0</v>
      </c>
      <c r="T33" s="1045">
        <v>14493539.540000001</v>
      </c>
      <c r="U33" s="33"/>
      <c r="V33" s="269">
        <f>T33/$T$39</f>
        <v>0.99141564378573521</v>
      </c>
      <c r="X33" s="63">
        <v>0</v>
      </c>
      <c r="AA33" s="65"/>
    </row>
    <row r="34" spans="1:27" s="64" customFormat="1">
      <c r="A34" s="59"/>
      <c r="B34" s="59"/>
      <c r="C34" s="60"/>
      <c r="D34" s="60"/>
      <c r="E34" s="60"/>
      <c r="F34" s="60" t="s">
        <v>408</v>
      </c>
      <c r="G34" s="60"/>
      <c r="H34" s="60"/>
      <c r="I34" s="60"/>
      <c r="J34" s="61"/>
      <c r="K34" s="62" t="s">
        <v>17</v>
      </c>
      <c r="L34" s="74"/>
      <c r="M34" s="74"/>
      <c r="N34" s="1026">
        <v>0</v>
      </c>
      <c r="O34" s="1026">
        <v>9000</v>
      </c>
      <c r="P34" s="1026">
        <v>0</v>
      </c>
      <c r="Q34" s="1026"/>
      <c r="R34" s="1026">
        <v>0</v>
      </c>
      <c r="S34" s="1026">
        <v>0</v>
      </c>
      <c r="T34" s="1046"/>
      <c r="U34" s="33"/>
      <c r="V34" s="269"/>
      <c r="X34" s="63"/>
      <c r="AA34" s="65"/>
    </row>
    <row r="35" spans="1:27" s="64" customFormat="1">
      <c r="A35" s="59"/>
      <c r="B35" s="59" t="s">
        <v>33</v>
      </c>
      <c r="C35" s="60"/>
      <c r="D35" s="60"/>
      <c r="E35" s="60"/>
      <c r="F35" s="60"/>
      <c r="G35" s="60"/>
      <c r="H35" s="60"/>
      <c r="I35" s="60"/>
      <c r="J35" s="61"/>
      <c r="K35" s="62" t="s">
        <v>17</v>
      </c>
      <c r="L35" s="74"/>
      <c r="M35" s="74"/>
      <c r="N35" s="1026">
        <v>0</v>
      </c>
      <c r="O35" s="1026">
        <v>0</v>
      </c>
      <c r="P35" s="1026">
        <v>0</v>
      </c>
      <c r="Q35" s="1026"/>
      <c r="R35" s="1026">
        <v>0</v>
      </c>
      <c r="S35" s="1026">
        <v>0</v>
      </c>
      <c r="T35" s="293">
        <v>0</v>
      </c>
      <c r="U35" s="33"/>
      <c r="V35" s="271">
        <f>T35/$T$39</f>
        <v>0</v>
      </c>
      <c r="X35" s="63">
        <v>0</v>
      </c>
      <c r="AA35" s="65"/>
    </row>
    <row r="36" spans="1:27" s="64" customFormat="1">
      <c r="A36" s="59"/>
      <c r="B36" s="59" t="s">
        <v>34</v>
      </c>
      <c r="C36" s="60"/>
      <c r="D36" s="60"/>
      <c r="E36" s="60"/>
      <c r="F36" s="60"/>
      <c r="G36" s="60"/>
      <c r="H36" s="60"/>
      <c r="I36" s="60"/>
      <c r="J36" s="61"/>
      <c r="K36" s="62" t="s">
        <v>17</v>
      </c>
      <c r="L36" s="74"/>
      <c r="M36" s="74"/>
      <c r="N36" s="1026">
        <v>0</v>
      </c>
      <c r="O36" s="1026">
        <v>0</v>
      </c>
      <c r="P36" s="1026">
        <v>3000</v>
      </c>
      <c r="Q36" s="1026">
        <v>0</v>
      </c>
      <c r="R36" s="1026">
        <v>98495</v>
      </c>
      <c r="S36" s="1026"/>
      <c r="T36" s="63">
        <v>101495</v>
      </c>
      <c r="U36" s="33"/>
      <c r="V36" s="269">
        <f>T36/$T$39</f>
        <v>6.9426609344340456E-3</v>
      </c>
      <c r="X36" s="63">
        <v>0</v>
      </c>
      <c r="AA36" s="65"/>
    </row>
    <row r="37" spans="1:27" s="64" customFormat="1">
      <c r="A37" s="59"/>
      <c r="B37" s="59" t="s">
        <v>225</v>
      </c>
      <c r="C37" s="60"/>
      <c r="D37" s="60"/>
      <c r="E37" s="60"/>
      <c r="F37" s="60"/>
      <c r="G37" s="60"/>
      <c r="H37" s="60"/>
      <c r="I37" s="60"/>
      <c r="J37" s="61"/>
      <c r="K37" s="62" t="s">
        <v>17</v>
      </c>
      <c r="L37" s="74"/>
      <c r="M37" s="74"/>
      <c r="N37" s="1026">
        <v>0</v>
      </c>
      <c r="O37" s="1026">
        <v>0</v>
      </c>
      <c r="P37" s="1026">
        <v>0</v>
      </c>
      <c r="Q37" s="1026">
        <v>0</v>
      </c>
      <c r="R37" s="1026">
        <v>0</v>
      </c>
      <c r="S37" s="1026"/>
      <c r="T37" s="63">
        <v>0</v>
      </c>
      <c r="U37" s="33"/>
      <c r="V37" s="269">
        <f>T37/$T$39</f>
        <v>0</v>
      </c>
      <c r="X37" s="63">
        <v>0</v>
      </c>
      <c r="AA37" s="65"/>
    </row>
    <row r="38" spans="1:27" s="64" customFormat="1">
      <c r="A38" s="59"/>
      <c r="B38" s="59" t="s">
        <v>148</v>
      </c>
      <c r="C38" s="60"/>
      <c r="D38" s="60"/>
      <c r="E38" s="60"/>
      <c r="F38" s="60"/>
      <c r="G38" s="60"/>
      <c r="H38" s="60"/>
      <c r="I38" s="60"/>
      <c r="J38" s="61"/>
      <c r="K38" s="62" t="s">
        <v>17</v>
      </c>
      <c r="L38" s="74"/>
      <c r="M38" s="74"/>
      <c r="N38" s="1026">
        <v>0</v>
      </c>
      <c r="O38" s="1026">
        <v>0</v>
      </c>
      <c r="P38" s="1026">
        <v>0</v>
      </c>
      <c r="Q38" s="1026">
        <v>0</v>
      </c>
      <c r="R38" s="1026">
        <v>0</v>
      </c>
      <c r="S38" s="1026">
        <v>0</v>
      </c>
      <c r="T38" s="63">
        <v>0</v>
      </c>
      <c r="U38" s="33"/>
      <c r="V38" s="63">
        <f>T38*100/T39</f>
        <v>0</v>
      </c>
      <c r="X38" s="63">
        <v>0</v>
      </c>
      <c r="AA38" s="65"/>
    </row>
    <row r="39" spans="1:27" s="1" customFormat="1">
      <c r="A39" s="66" t="s">
        <v>35</v>
      </c>
      <c r="B39" s="67"/>
      <c r="C39" s="67"/>
      <c r="D39" s="67"/>
      <c r="E39" s="68"/>
      <c r="F39" s="68"/>
      <c r="G39" s="68"/>
      <c r="H39" s="68"/>
      <c r="I39" s="68"/>
      <c r="J39" s="69"/>
      <c r="K39" s="179">
        <f>SUM(K37:K38)</f>
        <v>0</v>
      </c>
      <c r="L39" s="70">
        <f t="shared" ref="L39:M39" si="2">SUM(L32:L38)</f>
        <v>0</v>
      </c>
      <c r="M39" s="70">
        <f t="shared" si="2"/>
        <v>0</v>
      </c>
      <c r="N39" s="70">
        <v>3891835.0800000005</v>
      </c>
      <c r="O39" s="70">
        <v>7160692.3700000001</v>
      </c>
      <c r="P39" s="70">
        <v>3468012.09</v>
      </c>
      <c r="Q39" s="70">
        <v>0</v>
      </c>
      <c r="R39" s="70">
        <v>98495</v>
      </c>
      <c r="S39" s="70">
        <v>0</v>
      </c>
      <c r="T39" s="70">
        <v>14619034.540000001</v>
      </c>
      <c r="U39" s="71"/>
      <c r="V39" s="270">
        <f>SUM(V32:V38)</f>
        <v>1</v>
      </c>
      <c r="X39" s="70">
        <v>0</v>
      </c>
      <c r="AA39" s="6"/>
    </row>
    <row r="40" spans="1:27" s="1" customFormat="1">
      <c r="A40" s="28" t="s">
        <v>125</v>
      </c>
      <c r="B40" s="29"/>
      <c r="C40" s="29"/>
      <c r="D40" s="29"/>
      <c r="E40" s="29"/>
      <c r="F40" s="29"/>
      <c r="G40" s="29"/>
      <c r="H40" s="29"/>
      <c r="I40" s="29"/>
      <c r="J40" s="29"/>
      <c r="K40" s="72"/>
      <c r="L40" s="72"/>
      <c r="M40" s="72"/>
      <c r="N40" s="72"/>
      <c r="O40" s="72"/>
      <c r="P40" s="72"/>
      <c r="Q40" s="72"/>
      <c r="R40" s="72"/>
      <c r="S40" s="72"/>
      <c r="T40" s="73"/>
      <c r="U40" s="33"/>
      <c r="V40" s="5"/>
      <c r="X40" s="5"/>
      <c r="AA40" s="6"/>
    </row>
    <row r="41" spans="1:27">
      <c r="A41" s="76">
        <v>2.1</v>
      </c>
      <c r="B41" s="46" t="s">
        <v>36</v>
      </c>
      <c r="C41" s="47"/>
      <c r="D41" s="47"/>
      <c r="E41" s="47"/>
      <c r="F41" s="47"/>
      <c r="G41" s="47"/>
      <c r="H41" s="47"/>
      <c r="I41" s="47"/>
      <c r="J41" s="47"/>
      <c r="K41" s="62" t="s">
        <v>17</v>
      </c>
      <c r="L41" s="239"/>
      <c r="M41" s="239"/>
      <c r="N41" s="239"/>
      <c r="O41" s="272"/>
      <c r="P41" s="272"/>
      <c r="Q41" s="239"/>
      <c r="R41" s="239"/>
      <c r="S41" s="239"/>
      <c r="T41" s="240">
        <f t="shared" ref="T41:T51" si="3">SUM(L41:S41)</f>
        <v>0</v>
      </c>
      <c r="U41" s="41"/>
      <c r="X41" s="50">
        <f t="shared" ref="X41:X51" si="4">T41/$T$88</f>
        <v>0</v>
      </c>
    </row>
    <row r="42" spans="1:27">
      <c r="A42" s="76">
        <v>2.2000000000000002</v>
      </c>
      <c r="B42" s="46" t="s">
        <v>37</v>
      </c>
      <c r="C42" s="47"/>
      <c r="D42" s="47"/>
      <c r="E42" s="47"/>
      <c r="F42" s="47"/>
      <c r="G42" s="47"/>
      <c r="H42" s="47"/>
      <c r="I42" s="47"/>
      <c r="J42" s="47"/>
      <c r="K42" s="62" t="s">
        <v>17</v>
      </c>
      <c r="L42" s="239"/>
      <c r="M42" s="239"/>
      <c r="N42" s="239"/>
      <c r="O42" s="272"/>
      <c r="P42" s="272"/>
      <c r="Q42" s="239"/>
      <c r="R42" s="239"/>
      <c r="S42" s="239"/>
      <c r="T42" s="240">
        <f t="shared" si="3"/>
        <v>0</v>
      </c>
      <c r="U42" s="41"/>
      <c r="X42" s="50">
        <f t="shared" si="4"/>
        <v>0</v>
      </c>
    </row>
    <row r="43" spans="1:27">
      <c r="A43" s="76">
        <v>2.2999999999999998</v>
      </c>
      <c r="B43" s="46" t="s">
        <v>38</v>
      </c>
      <c r="C43" s="47"/>
      <c r="D43" s="47"/>
      <c r="E43" s="47"/>
      <c r="F43" s="47"/>
      <c r="G43" s="47"/>
      <c r="H43" s="47"/>
      <c r="I43" s="47"/>
      <c r="J43" s="47"/>
      <c r="K43" s="62" t="s">
        <v>17</v>
      </c>
      <c r="L43" s="239"/>
      <c r="M43" s="239"/>
      <c r="N43" s="239"/>
      <c r="O43" s="272">
        <f>'การใช้รถ -  ระยะไมล์  ก.ย.'!D69</f>
        <v>488.66396761133598</v>
      </c>
      <c r="P43" s="272">
        <f>'การใช้รถ -  ระยะไมล์  ก.ย.'!D70+155</f>
        <v>417.91497975708501</v>
      </c>
      <c r="Q43" s="239"/>
      <c r="R43" s="239"/>
      <c r="S43" s="239"/>
      <c r="T43" s="240">
        <f t="shared" si="3"/>
        <v>906.57894736842104</v>
      </c>
      <c r="U43" s="158"/>
      <c r="X43" s="50">
        <f t="shared" si="4"/>
        <v>6.4427460432616511E-5</v>
      </c>
    </row>
    <row r="44" spans="1:27">
      <c r="A44" s="76">
        <v>2.4</v>
      </c>
      <c r="B44" s="46" t="s">
        <v>24</v>
      </c>
      <c r="C44" s="47"/>
      <c r="D44" s="47"/>
      <c r="E44" s="47"/>
      <c r="F44" s="47"/>
      <c r="G44" s="47"/>
      <c r="H44" s="47"/>
      <c r="I44" s="47"/>
      <c r="J44" s="47"/>
      <c r="K44" s="62" t="s">
        <v>17</v>
      </c>
      <c r="L44" s="239"/>
      <c r="M44" s="239"/>
      <c r="N44" s="241"/>
      <c r="O44" s="272"/>
      <c r="P44" s="272"/>
      <c r="Q44" s="239"/>
      <c r="R44" s="239"/>
      <c r="S44" s="239"/>
      <c r="T44" s="240">
        <f t="shared" si="3"/>
        <v>0</v>
      </c>
      <c r="U44" s="41"/>
      <c r="X44" s="50">
        <f t="shared" si="4"/>
        <v>0</v>
      </c>
    </row>
    <row r="45" spans="1:27">
      <c r="A45" s="76">
        <v>2.5</v>
      </c>
      <c r="B45" s="46" t="s">
        <v>40</v>
      </c>
      <c r="C45" s="47"/>
      <c r="D45" s="47"/>
      <c r="E45" s="47"/>
      <c r="F45" s="47"/>
      <c r="G45" s="47"/>
      <c r="H45" s="47"/>
      <c r="I45" s="47"/>
      <c r="J45" s="47"/>
      <c r="K45" s="62" t="s">
        <v>17</v>
      </c>
      <c r="L45" s="239"/>
      <c r="M45" s="239"/>
      <c r="N45" s="241"/>
      <c r="O45" s="272">
        <f>94</f>
        <v>94</v>
      </c>
      <c r="P45" s="272">
        <f>37</f>
        <v>37</v>
      </c>
      <c r="Q45" s="239"/>
      <c r="R45" s="239"/>
      <c r="S45" s="239"/>
      <c r="T45" s="240">
        <f t="shared" si="3"/>
        <v>131</v>
      </c>
      <c r="U45" s="41"/>
      <c r="X45" s="50">
        <f t="shared" si="4"/>
        <v>9.3097212781876638E-6</v>
      </c>
    </row>
    <row r="46" spans="1:27">
      <c r="A46" s="76">
        <v>2.6</v>
      </c>
      <c r="B46" s="46" t="s">
        <v>41</v>
      </c>
      <c r="C46" s="47"/>
      <c r="D46" s="47"/>
      <c r="E46" s="47"/>
      <c r="F46" s="47"/>
      <c r="G46" s="47"/>
      <c r="H46" s="47"/>
      <c r="I46" s="47"/>
      <c r="J46" s="48"/>
      <c r="K46" s="62" t="s">
        <v>17</v>
      </c>
      <c r="L46" s="239"/>
      <c r="M46" s="239"/>
      <c r="N46" s="241"/>
      <c r="O46" s="272">
        <f>8750+1401.87</f>
        <v>10151.869999999999</v>
      </c>
      <c r="P46" s="272">
        <f>7680+1600</f>
        <v>9280</v>
      </c>
      <c r="Q46" s="239"/>
      <c r="R46" s="239"/>
      <c r="S46" s="239"/>
      <c r="T46" s="240">
        <f t="shared" si="3"/>
        <v>19431.87</v>
      </c>
      <c r="U46" s="41"/>
      <c r="X46" s="50">
        <f t="shared" si="4"/>
        <v>1.3809564398013473E-3</v>
      </c>
    </row>
    <row r="47" spans="1:27">
      <c r="A47" s="76">
        <v>2.7</v>
      </c>
      <c r="B47" s="36" t="s">
        <v>42</v>
      </c>
      <c r="C47" s="37"/>
      <c r="D47" s="47"/>
      <c r="E47" s="47"/>
      <c r="F47" s="47"/>
      <c r="G47" s="47"/>
      <c r="H47" s="47"/>
      <c r="I47" s="47"/>
      <c r="J47" s="48"/>
      <c r="K47" s="62" t="s">
        <v>17</v>
      </c>
      <c r="L47" s="239"/>
      <c r="M47" s="239"/>
      <c r="N47" s="241"/>
      <c r="O47" s="272">
        <f>2613.08</f>
        <v>2613.08</v>
      </c>
      <c r="P47" s="272">
        <f>2485</f>
        <v>2485</v>
      </c>
      <c r="Q47" s="239"/>
      <c r="R47" s="239"/>
      <c r="S47" s="239"/>
      <c r="T47" s="240">
        <f t="shared" si="3"/>
        <v>5098.08</v>
      </c>
      <c r="U47" s="41"/>
      <c r="X47" s="50">
        <f t="shared" si="4"/>
        <v>3.6230308285422111E-4</v>
      </c>
    </row>
    <row r="48" spans="1:27">
      <c r="A48" s="76">
        <v>2.8</v>
      </c>
      <c r="B48" s="46" t="s">
        <v>44</v>
      </c>
      <c r="C48" s="47"/>
      <c r="D48" s="47"/>
      <c r="E48" s="47"/>
      <c r="F48" s="47"/>
      <c r="G48" s="47"/>
      <c r="H48" s="47"/>
      <c r="I48" s="47"/>
      <c r="J48" s="48"/>
      <c r="K48" s="62" t="s">
        <v>17</v>
      </c>
      <c r="L48" s="239"/>
      <c r="M48" s="239"/>
      <c r="N48" s="241"/>
      <c r="O48" s="272">
        <f>699+518</f>
        <v>1217</v>
      </c>
      <c r="P48" s="272">
        <f>981.2+299</f>
        <v>1280.2</v>
      </c>
      <c r="Q48" s="239"/>
      <c r="R48" s="239"/>
      <c r="S48" s="239"/>
      <c r="T48" s="240">
        <f t="shared" si="3"/>
        <v>2497.1999999999998</v>
      </c>
      <c r="U48" s="176"/>
      <c r="X48" s="50">
        <f t="shared" si="4"/>
        <v>1.7746745019763536E-4</v>
      </c>
    </row>
    <row r="49" spans="1:27">
      <c r="A49" s="327" t="s">
        <v>341</v>
      </c>
      <c r="B49" s="46" t="s">
        <v>55</v>
      </c>
      <c r="C49" s="47"/>
      <c r="D49" s="47"/>
      <c r="E49" s="47"/>
      <c r="F49" s="47"/>
      <c r="G49" s="47"/>
      <c r="H49" s="47"/>
      <c r="I49" s="47"/>
      <c r="J49" s="48"/>
      <c r="K49" s="62" t="s">
        <v>17</v>
      </c>
      <c r="L49" s="239"/>
      <c r="M49" s="239"/>
      <c r="N49" s="241"/>
      <c r="O49" s="272">
        <f>40+40+80</f>
        <v>160</v>
      </c>
      <c r="P49" s="272"/>
      <c r="Q49" s="239"/>
      <c r="R49" s="239"/>
      <c r="S49" s="239"/>
      <c r="T49" s="240">
        <f t="shared" si="3"/>
        <v>160</v>
      </c>
      <c r="U49" s="41"/>
      <c r="X49" s="50">
        <f t="shared" si="4"/>
        <v>1.1370651942824627E-5</v>
      </c>
    </row>
    <row r="50" spans="1:27">
      <c r="A50" s="327" t="s">
        <v>45</v>
      </c>
      <c r="B50" s="46" t="s">
        <v>155</v>
      </c>
      <c r="C50" s="47"/>
      <c r="D50" s="47"/>
      <c r="E50" s="47"/>
      <c r="F50" s="47"/>
      <c r="G50" s="47"/>
      <c r="H50" s="47"/>
      <c r="I50" s="47"/>
      <c r="J50" s="48"/>
      <c r="K50" s="62" t="s">
        <v>17</v>
      </c>
      <c r="L50" s="239"/>
      <c r="M50" s="239"/>
      <c r="N50" s="241"/>
      <c r="O50" s="272">
        <f>1500</f>
        <v>1500</v>
      </c>
      <c r="P50" s="272">
        <f>2115.9+0</f>
        <v>2115.9</v>
      </c>
      <c r="Q50" s="239"/>
      <c r="R50" s="239"/>
      <c r="S50" s="239"/>
      <c r="T50" s="240">
        <f t="shared" si="3"/>
        <v>3615.9</v>
      </c>
      <c r="U50" s="41"/>
      <c r="X50" s="50">
        <f t="shared" si="4"/>
        <v>2.5696962725037231E-4</v>
      </c>
    </row>
    <row r="51" spans="1:27" ht="13.15" customHeight="1">
      <c r="A51" s="76">
        <v>2.11</v>
      </c>
      <c r="B51" s="259" t="s">
        <v>218</v>
      </c>
      <c r="C51" s="47"/>
      <c r="D51" s="47"/>
      <c r="E51" s="47"/>
      <c r="F51" s="47"/>
      <c r="G51" s="47"/>
      <c r="H51" s="47"/>
      <c r="I51" s="47"/>
      <c r="J51" s="48"/>
      <c r="K51" s="62" t="s">
        <v>17</v>
      </c>
      <c r="L51" s="239"/>
      <c r="M51" s="239"/>
      <c r="N51" s="239"/>
      <c r="O51" s="272">
        <f>0</f>
        <v>0</v>
      </c>
      <c r="P51" s="272"/>
      <c r="Q51" s="239"/>
      <c r="R51" s="239"/>
      <c r="S51" s="239"/>
      <c r="T51" s="240">
        <f t="shared" si="3"/>
        <v>0</v>
      </c>
      <c r="U51" s="41"/>
      <c r="X51" s="50">
        <f t="shared" si="4"/>
        <v>0</v>
      </c>
    </row>
    <row r="52" spans="1:27" s="1" customFormat="1">
      <c r="A52" s="328"/>
      <c r="B52" s="77" t="s">
        <v>410</v>
      </c>
      <c r="C52" s="78"/>
      <c r="D52" s="78"/>
      <c r="E52" s="78"/>
      <c r="F52" s="78"/>
      <c r="G52" s="78"/>
      <c r="H52" s="78"/>
      <c r="I52" s="78"/>
      <c r="J52" s="78"/>
      <c r="K52" s="62" t="s">
        <v>17</v>
      </c>
      <c r="L52" s="57">
        <f t="shared" ref="L52:T52" si="5">SUM(L41:L51)</f>
        <v>0</v>
      </c>
      <c r="M52" s="57">
        <f t="shared" si="5"/>
        <v>0</v>
      </c>
      <c r="N52" s="57">
        <f t="shared" si="5"/>
        <v>0</v>
      </c>
      <c r="O52" s="57">
        <f>SUM(O41:O51)</f>
        <v>16224.613967611334</v>
      </c>
      <c r="P52" s="57">
        <f>SUM(P41:P51)</f>
        <v>15616.014979757085</v>
      </c>
      <c r="Q52" s="57">
        <f>SUM(Q41:Q51)</f>
        <v>0</v>
      </c>
      <c r="R52" s="57">
        <f>SUM(R41:R51)</f>
        <v>0</v>
      </c>
      <c r="S52" s="57">
        <f>SUM(S41:S51)</f>
        <v>0</v>
      </c>
      <c r="T52" s="57">
        <f t="shared" si="5"/>
        <v>31840.628947368419</v>
      </c>
      <c r="U52" s="33"/>
      <c r="V52" s="5"/>
      <c r="X52" s="58">
        <f>SUM(X41:X51)</f>
        <v>2.2628044337572048E-3</v>
      </c>
      <c r="AA52" s="6"/>
    </row>
    <row r="53" spans="1:27" s="1" customFormat="1">
      <c r="A53" s="79" t="s">
        <v>47</v>
      </c>
      <c r="B53" s="80" t="s">
        <v>48</v>
      </c>
      <c r="C53" s="81"/>
      <c r="D53" s="81"/>
      <c r="E53" s="81"/>
      <c r="F53" s="81"/>
      <c r="G53" s="81"/>
      <c r="H53" s="81"/>
      <c r="I53" s="81"/>
      <c r="J53" s="82"/>
      <c r="K53" s="204">
        <f>+K39-K31</f>
        <v>0</v>
      </c>
      <c r="L53" s="83">
        <f t="shared" ref="L53:T53" si="6">L39-L31-L52</f>
        <v>0</v>
      </c>
      <c r="M53" s="83">
        <f t="shared" si="6"/>
        <v>0</v>
      </c>
      <c r="N53" s="83">
        <f t="shared" si="6"/>
        <v>469146.53102193726</v>
      </c>
      <c r="O53" s="83">
        <f t="shared" si="6"/>
        <v>403585.27438171685</v>
      </c>
      <c r="P53" s="83">
        <f t="shared" si="6"/>
        <v>237254.37018339086</v>
      </c>
      <c r="Q53" s="83">
        <f t="shared" si="6"/>
        <v>0</v>
      </c>
      <c r="R53" s="83">
        <f t="shared" si="6"/>
        <v>98495</v>
      </c>
      <c r="S53" s="83">
        <f t="shared" si="6"/>
        <v>0</v>
      </c>
      <c r="T53" s="83">
        <f t="shared" si="6"/>
        <v>1208481.1755870464</v>
      </c>
      <c r="U53" s="84"/>
      <c r="V53" s="85"/>
      <c r="X53" s="85"/>
      <c r="AA53" s="6"/>
    </row>
    <row r="54" spans="1:27">
      <c r="A54" s="86"/>
      <c r="B54" s="1" t="s">
        <v>49</v>
      </c>
      <c r="C54" s="1"/>
      <c r="D54" s="1"/>
      <c r="E54" s="1"/>
      <c r="F54" s="1"/>
      <c r="G54" s="1"/>
      <c r="H54" s="1"/>
      <c r="I54" s="1"/>
      <c r="J54" s="1"/>
      <c r="N54" s="1040" t="s">
        <v>50</v>
      </c>
      <c r="O54" s="1041"/>
      <c r="P54" s="1041"/>
      <c r="Q54" s="1041"/>
      <c r="R54" s="1041"/>
      <c r="S54" s="1041"/>
      <c r="T54" s="87">
        <f>O53</f>
        <v>403585.27438171685</v>
      </c>
    </row>
    <row r="55" spans="1:27" ht="13.5" thickBot="1">
      <c r="A55" s="86"/>
      <c r="B55" s="1"/>
      <c r="C55" s="1"/>
      <c r="D55" s="1"/>
      <c r="E55" s="1"/>
      <c r="F55" s="1"/>
      <c r="G55" s="1"/>
      <c r="H55" s="1"/>
      <c r="I55" s="1"/>
      <c r="J55" s="1"/>
      <c r="N55" s="1053" t="s">
        <v>96</v>
      </c>
      <c r="O55" s="1054"/>
      <c r="P55" s="1054"/>
      <c r="Q55" s="1054"/>
      <c r="R55" s="1054"/>
      <c r="S55" s="1054"/>
      <c r="T55" s="138">
        <f>P53</f>
        <v>237254.37018339086</v>
      </c>
    </row>
    <row r="56" spans="1:27" ht="13.5" thickBot="1">
      <c r="A56" s="86"/>
      <c r="J56" s="141" t="s">
        <v>110</v>
      </c>
      <c r="K56" s="130"/>
      <c r="L56" s="128" t="e">
        <f t="shared" ref="L56:T56" si="7">L53/L39</f>
        <v>#DIV/0!</v>
      </c>
      <c r="M56" s="128" t="e">
        <f t="shared" si="7"/>
        <v>#DIV/0!</v>
      </c>
      <c r="N56" s="128">
        <f t="shared" si="7"/>
        <v>0.12054635445187908</v>
      </c>
      <c r="O56" s="128">
        <f t="shared" si="7"/>
        <v>5.6361208320099478E-2</v>
      </c>
      <c r="P56" s="128">
        <f t="shared" si="7"/>
        <v>6.8412209653914688E-2</v>
      </c>
      <c r="Q56" s="128" t="e">
        <f t="shared" si="7"/>
        <v>#DIV/0!</v>
      </c>
      <c r="R56" s="128">
        <f t="shared" si="7"/>
        <v>1</v>
      </c>
      <c r="S56" s="128" t="e">
        <f t="shared" si="7"/>
        <v>#DIV/0!</v>
      </c>
      <c r="T56" s="128">
        <f t="shared" si="7"/>
        <v>8.266491007189633E-2</v>
      </c>
      <c r="X56" s="88"/>
    </row>
    <row r="57" spans="1:27" s="1" customFormat="1">
      <c r="A57" s="28" t="s">
        <v>51</v>
      </c>
      <c r="B57" s="29"/>
      <c r="C57" s="29"/>
      <c r="D57" s="29"/>
      <c r="E57" s="29"/>
      <c r="F57" s="29"/>
      <c r="G57" s="29"/>
      <c r="H57" s="29"/>
      <c r="I57" s="29"/>
      <c r="J57" s="143"/>
      <c r="K57" s="143"/>
      <c r="L57" s="127"/>
      <c r="M57" s="127"/>
      <c r="N57" s="127"/>
      <c r="O57" s="127"/>
      <c r="P57" s="238"/>
      <c r="Q57" s="139"/>
      <c r="R57" s="139"/>
      <c r="S57" s="127"/>
      <c r="T57" s="140"/>
      <c r="U57" s="33"/>
      <c r="V57" s="89"/>
      <c r="W57" s="90"/>
      <c r="X57" s="155"/>
      <c r="AA57" s="6"/>
    </row>
    <row r="58" spans="1:27" s="1" customFormat="1">
      <c r="A58" s="113" t="s">
        <v>103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72"/>
      <c r="M58" s="72"/>
      <c r="N58" s="72"/>
      <c r="O58" s="72"/>
      <c r="P58" s="126"/>
      <c r="Q58" s="126"/>
      <c r="R58" s="126"/>
      <c r="S58" s="127"/>
      <c r="T58" s="93"/>
      <c r="U58" s="33"/>
      <c r="V58" s="89"/>
      <c r="W58" s="90"/>
      <c r="X58" s="156"/>
      <c r="AA58" s="6"/>
    </row>
    <row r="59" spans="1:27">
      <c r="A59" s="45">
        <v>3.11</v>
      </c>
      <c r="B59" s="46" t="s">
        <v>36</v>
      </c>
      <c r="C59" s="47"/>
      <c r="D59" s="47"/>
      <c r="E59" s="47"/>
      <c r="F59" s="47"/>
      <c r="G59" s="47"/>
      <c r="H59" s="47"/>
      <c r="I59" s="47"/>
      <c r="J59" s="48"/>
      <c r="K59" s="331">
        <f>485810-60000</f>
        <v>425810</v>
      </c>
      <c r="L59" s="74"/>
      <c r="M59" s="74"/>
      <c r="N59" s="49">
        <f>K59*$N$65/$V$65</f>
        <v>177420.83333333334</v>
      </c>
      <c r="O59" s="75">
        <f>K59*$O$65/$V$65</f>
        <v>177420.83333333334</v>
      </c>
      <c r="P59" s="75">
        <f>K59*$P$65/$V$65</f>
        <v>70968.333333333328</v>
      </c>
      <c r="Q59" s="75">
        <f>K59*$Q$65/$V$65</f>
        <v>0</v>
      </c>
      <c r="R59" s="75">
        <f>K59*$R$65/$V$65</f>
        <v>0</v>
      </c>
      <c r="S59" s="75">
        <f>K59*$S$65/$V$65</f>
        <v>0</v>
      </c>
      <c r="T59" s="49">
        <f>SUM(L59:S59)</f>
        <v>425810</v>
      </c>
      <c r="U59" s="41"/>
      <c r="V59" s="8"/>
      <c r="W59" s="8"/>
      <c r="X59" s="154">
        <f>T59/$T$88</f>
        <v>3.0260858148588466E-2</v>
      </c>
    </row>
    <row r="60" spans="1:27">
      <c r="A60" s="45">
        <v>3.12</v>
      </c>
      <c r="B60" s="46" t="s">
        <v>37</v>
      </c>
      <c r="C60" s="47"/>
      <c r="D60" s="47"/>
      <c r="E60" s="47"/>
      <c r="F60" s="47"/>
      <c r="G60" s="47"/>
      <c r="H60" s="47"/>
      <c r="I60" s="47"/>
      <c r="J60" s="48"/>
      <c r="K60" s="331">
        <f>10300</f>
        <v>10300</v>
      </c>
      <c r="L60" s="74"/>
      <c r="M60" s="74"/>
      <c r="N60" s="49">
        <f>K60*$N$65/$V$65</f>
        <v>4291.666666666667</v>
      </c>
      <c r="O60" s="75">
        <f>K60*$O$65/$V$65</f>
        <v>4291.666666666667</v>
      </c>
      <c r="P60" s="75">
        <f>K60*$P$65/$V$65</f>
        <v>1716.6666666666667</v>
      </c>
      <c r="Q60" s="75">
        <f>K60*$Q$65/$V$65</f>
        <v>0</v>
      </c>
      <c r="R60" s="75">
        <f>K60*$R$65/$V$65</f>
        <v>0</v>
      </c>
      <c r="S60" s="75">
        <f>K60*$S$65/$V$65</f>
        <v>0</v>
      </c>
      <c r="T60" s="49">
        <f>SUM(L60:S60)</f>
        <v>10300</v>
      </c>
      <c r="U60" s="41"/>
      <c r="V60" s="8"/>
      <c r="W60" s="8"/>
      <c r="X60" s="50">
        <f>T60/$T$88</f>
        <v>7.3198571881933543E-4</v>
      </c>
    </row>
    <row r="61" spans="1:27" ht="13.5" customHeight="1">
      <c r="A61" s="45">
        <v>3.13</v>
      </c>
      <c r="B61" s="173" t="s">
        <v>19</v>
      </c>
      <c r="C61" s="47"/>
      <c r="D61" s="47"/>
      <c r="E61" s="47"/>
      <c r="F61" s="47"/>
      <c r="G61" s="47"/>
      <c r="H61" s="47"/>
      <c r="I61" s="47"/>
      <c r="J61" s="48"/>
      <c r="K61" s="331"/>
      <c r="L61" s="74"/>
      <c r="M61" s="74"/>
      <c r="N61" s="49">
        <f>K61*$N$65/$V$65</f>
        <v>0</v>
      </c>
      <c r="O61" s="75">
        <f>K61*$O$65/$V$65</f>
        <v>0</v>
      </c>
      <c r="P61" s="75">
        <f>K61*$P$65/$V$65</f>
        <v>0</v>
      </c>
      <c r="Q61" s="75">
        <f>K61*$Q$65/$V$65</f>
        <v>0</v>
      </c>
      <c r="R61" s="75">
        <f>K61*$R$65/$V$65</f>
        <v>0</v>
      </c>
      <c r="S61" s="75">
        <f>K61*$S$65/$V$65</f>
        <v>0</v>
      </c>
      <c r="T61" s="49">
        <f>SUM(L61:S61)</f>
        <v>0</v>
      </c>
      <c r="U61" s="41"/>
      <c r="V61" s="8"/>
      <c r="W61" s="8"/>
      <c r="X61" s="50">
        <f>T61/$T$88</f>
        <v>0</v>
      </c>
    </row>
    <row r="62" spans="1:27" s="1" customFormat="1">
      <c r="A62" s="31"/>
      <c r="B62" s="28"/>
      <c r="C62" s="29"/>
      <c r="D62" s="29"/>
      <c r="E62" s="29"/>
      <c r="F62" s="29"/>
      <c r="G62" s="29"/>
      <c r="H62" s="29"/>
      <c r="I62" s="29"/>
      <c r="J62" s="30"/>
      <c r="K62" s="114">
        <f t="shared" ref="K62:T62" si="8">SUM(K59:K61)</f>
        <v>436110</v>
      </c>
      <c r="L62" s="57">
        <f t="shared" si="8"/>
        <v>0</v>
      </c>
      <c r="M62" s="57">
        <f t="shared" si="8"/>
        <v>0</v>
      </c>
      <c r="N62" s="57">
        <f t="shared" si="8"/>
        <v>181712.5</v>
      </c>
      <c r="O62" s="57">
        <f t="shared" si="8"/>
        <v>181712.5</v>
      </c>
      <c r="P62" s="57">
        <f t="shared" si="8"/>
        <v>72685</v>
      </c>
      <c r="Q62" s="57">
        <f t="shared" si="8"/>
        <v>0</v>
      </c>
      <c r="R62" s="57">
        <f t="shared" si="8"/>
        <v>0</v>
      </c>
      <c r="S62" s="57">
        <f t="shared" si="8"/>
        <v>0</v>
      </c>
      <c r="T62" s="57">
        <f t="shared" si="8"/>
        <v>436110</v>
      </c>
      <c r="U62" s="946"/>
      <c r="V62" s="947"/>
      <c r="W62" s="2"/>
      <c r="X62" s="58">
        <f>SUM(X59:X61)</f>
        <v>3.0992843867407801E-2</v>
      </c>
      <c r="AA62" s="6"/>
    </row>
    <row r="63" spans="1:27" s="64" customFormat="1" ht="13.5" customHeight="1">
      <c r="A63" s="750" t="s">
        <v>104</v>
      </c>
      <c r="B63" s="751"/>
      <c r="C63" s="752"/>
      <c r="D63" s="752"/>
      <c r="E63" s="752"/>
      <c r="F63" s="752"/>
      <c r="G63" s="752"/>
      <c r="H63" s="752"/>
      <c r="I63" s="752"/>
      <c r="J63" s="753"/>
      <c r="K63" s="1034">
        <v>0</v>
      </c>
      <c r="L63" s="63"/>
      <c r="M63" s="63"/>
      <c r="N63" s="63"/>
      <c r="O63" s="63"/>
      <c r="P63" s="63"/>
      <c r="Q63" s="63"/>
      <c r="R63" s="63"/>
      <c r="S63" s="63"/>
      <c r="T63" s="63"/>
      <c r="U63" s="948" t="s">
        <v>7</v>
      </c>
      <c r="V63" s="949">
        <f>615494+168552+60151</f>
        <v>844197</v>
      </c>
      <c r="W63" s="4"/>
      <c r="X63" s="85"/>
      <c r="AA63" s="65"/>
    </row>
    <row r="64" spans="1:27" s="64" customFormat="1" ht="13.5" customHeight="1">
      <c r="A64" s="117"/>
      <c r="B64" s="94"/>
      <c r="C64" s="94"/>
      <c r="D64" s="94"/>
      <c r="E64" s="94"/>
      <c r="F64" s="94"/>
      <c r="G64" s="94"/>
      <c r="H64" s="94"/>
      <c r="I64" s="94"/>
      <c r="J64" s="146" t="s">
        <v>112</v>
      </c>
      <c r="K64" s="118"/>
      <c r="L64" s="119"/>
      <c r="M64" s="119"/>
      <c r="N64" s="119"/>
      <c r="O64" s="119"/>
      <c r="P64" s="119"/>
      <c r="Q64" s="119"/>
      <c r="R64" s="119"/>
      <c r="S64" s="119"/>
      <c r="T64" s="119"/>
      <c r="U64" s="33"/>
      <c r="V64" s="120" t="s">
        <v>94</v>
      </c>
      <c r="W64" s="4"/>
      <c r="X64" s="85"/>
      <c r="AA64" s="65"/>
    </row>
    <row r="65" spans="1:27" s="64" customFormat="1">
      <c r="A65" s="115" t="s">
        <v>117</v>
      </c>
      <c r="B65" s="116"/>
      <c r="C65" s="116"/>
      <c r="D65" s="116"/>
      <c r="E65" s="116"/>
      <c r="F65" s="116"/>
      <c r="G65" s="116"/>
      <c r="H65" s="116"/>
      <c r="I65" s="116"/>
      <c r="J65" s="121">
        <f>+ปันส่วน!D51</f>
        <v>12</v>
      </c>
      <c r="K65" s="121"/>
      <c r="L65" s="121">
        <f>+ปันส่วน!B27</f>
        <v>0</v>
      </c>
      <c r="M65" s="121">
        <f>+ปันส่วน!C27</f>
        <v>0</v>
      </c>
      <c r="N65" s="121">
        <f>+ปันส่วน!D27</f>
        <v>5</v>
      </c>
      <c r="O65" s="121">
        <f>+ปันส่วน!E27</f>
        <v>5</v>
      </c>
      <c r="P65" s="121">
        <f>+ปันส่วน!F27</f>
        <v>2</v>
      </c>
      <c r="Q65" s="121">
        <f>+ปันส่วน!H27</f>
        <v>0</v>
      </c>
      <c r="R65" s="121">
        <f>+ปันส่วน!H27</f>
        <v>0</v>
      </c>
      <c r="S65" s="121">
        <f>+ปันส่วน!G27</f>
        <v>0</v>
      </c>
      <c r="T65" s="235">
        <f>SUM(J65:S65)</f>
        <v>24</v>
      </c>
      <c r="U65" s="123" t="s">
        <v>105</v>
      </c>
      <c r="V65" s="122">
        <f>SUM(L65:S65)</f>
        <v>12</v>
      </c>
      <c r="X65" s="124"/>
      <c r="AA65" s="65"/>
    </row>
    <row r="66" spans="1:27">
      <c r="A66" s="45">
        <v>3.3</v>
      </c>
      <c r="B66" s="36" t="s">
        <v>22</v>
      </c>
      <c r="C66" s="47"/>
      <c r="D66" s="47"/>
      <c r="E66" s="47"/>
      <c r="F66" s="47"/>
      <c r="G66" s="47"/>
      <c r="H66" s="47"/>
      <c r="I66" s="47"/>
      <c r="J66" s="125">
        <f t="shared" ref="J66:J84" si="9">K66/$V$66*$J$65</f>
        <v>0</v>
      </c>
      <c r="K66" s="331">
        <v>0</v>
      </c>
      <c r="L66" s="239"/>
      <c r="M66" s="239"/>
      <c r="N66" s="240">
        <f t="shared" ref="N66:N84" si="10">(K66/$V$66*$N$65)+(J66/$V$65*$N$65)</f>
        <v>0</v>
      </c>
      <c r="O66" s="240">
        <f>(J66/$V$65*$O$65)</f>
        <v>0</v>
      </c>
      <c r="P66" s="240">
        <f>(J66/$V$65*$P$65)</f>
        <v>0</v>
      </c>
      <c r="Q66" s="240"/>
      <c r="R66" s="240">
        <f t="shared" ref="R66:R84" si="11">+(K66/$V$66*$R$65)+(J66/$V$65*$R$65)</f>
        <v>0</v>
      </c>
      <c r="S66" s="240">
        <f t="shared" ref="S66:S83" si="12">(K66/$V$66*$S$65)+(J66/$V$65*$S$65)</f>
        <v>0</v>
      </c>
      <c r="T66" s="240">
        <f t="shared" ref="T66:T84" si="13">SUM(L66:S66)</f>
        <v>0</v>
      </c>
      <c r="U66" s="123" t="s">
        <v>10</v>
      </c>
      <c r="V66" s="122">
        <f>SUM(J65,L65,M65,N65,R65,S65,Q65)</f>
        <v>17</v>
      </c>
      <c r="W66" s="8"/>
      <c r="X66" s="50">
        <f t="shared" ref="X66:X83" si="14">T66/$T$88</f>
        <v>0</v>
      </c>
    </row>
    <row r="67" spans="1:27" s="43" customFormat="1">
      <c r="A67" s="35">
        <v>3.4</v>
      </c>
      <c r="B67" s="36" t="s">
        <v>27</v>
      </c>
      <c r="C67" s="37"/>
      <c r="D67" s="37"/>
      <c r="E67" s="37"/>
      <c r="F67" s="37"/>
      <c r="G67" s="37"/>
      <c r="H67" s="37"/>
      <c r="I67" s="37"/>
      <c r="J67" s="125">
        <f>K67/$V$66*$J$65</f>
        <v>0</v>
      </c>
      <c r="K67" s="331">
        <v>0</v>
      </c>
      <c r="L67" s="239"/>
      <c r="M67" s="239"/>
      <c r="N67" s="240">
        <f>(K67/$V$66*$N$65)+(J67/$V$65*$N$65)</f>
        <v>0</v>
      </c>
      <c r="O67" s="240">
        <f>(J67/$V$65*$O$65)</f>
        <v>0</v>
      </c>
      <c r="P67" s="240">
        <f>(J67/$V$65*$P$65)</f>
        <v>0</v>
      </c>
      <c r="Q67" s="240"/>
      <c r="R67" s="240">
        <f t="shared" si="11"/>
        <v>0</v>
      </c>
      <c r="S67" s="240">
        <f>(K67/$V$66*$S$65)+(J67/$V$65*$S$65)</f>
        <v>0</v>
      </c>
      <c r="T67" s="240">
        <f>SUM(L67:S67)</f>
        <v>0</v>
      </c>
      <c r="U67" s="123" t="s">
        <v>6</v>
      </c>
      <c r="V67" s="122">
        <f>+L65+M65+N65+S65</f>
        <v>5</v>
      </c>
      <c r="W67" s="9"/>
      <c r="X67" s="42">
        <f t="shared" si="14"/>
        <v>0</v>
      </c>
      <c r="AA67" s="44"/>
    </row>
    <row r="68" spans="1:27" s="43" customFormat="1">
      <c r="A68" s="35">
        <v>3.5</v>
      </c>
      <c r="B68" s="36" t="s">
        <v>157</v>
      </c>
      <c r="C68" s="37"/>
      <c r="D68" s="37"/>
      <c r="E68" s="37"/>
      <c r="F68" s="37"/>
      <c r="G68" s="37"/>
      <c r="H68" s="37"/>
      <c r="I68" s="37"/>
      <c r="J68" s="125">
        <f t="shared" si="9"/>
        <v>497.97570850202419</v>
      </c>
      <c r="K68" s="272">
        <f>'การใช้รถ -  ระยะไมล์  ก.ย.'!D67</f>
        <v>705.46558704453435</v>
      </c>
      <c r="L68" s="239"/>
      <c r="M68" s="239"/>
      <c r="N68" s="240">
        <f>(K68/$V$66*$N$65)+(J68/$V$65*$N$65)</f>
        <v>414.9797570850202</v>
      </c>
      <c r="O68" s="240">
        <f t="shared" ref="O68:O84" si="15">(J68/$V$65*$O$65)</f>
        <v>207.4898785425101</v>
      </c>
      <c r="P68" s="240">
        <f t="shared" ref="P68:P84" si="16">(J68/$V$65*$P$65)</f>
        <v>82.995951417004036</v>
      </c>
      <c r="Q68" s="240">
        <f>+(K68/$V$66*$Q$65)+(J68/$V$65*$Q$65)</f>
        <v>0</v>
      </c>
      <c r="R68" s="240">
        <f t="shared" si="11"/>
        <v>0</v>
      </c>
      <c r="S68" s="240">
        <f t="shared" si="12"/>
        <v>0</v>
      </c>
      <c r="T68" s="240">
        <f>SUM(L68:S68)</f>
        <v>705.46558704453435</v>
      </c>
      <c r="U68" s="41"/>
      <c r="V68" s="8"/>
      <c r="W68" s="9"/>
      <c r="X68" s="42">
        <f t="shared" si="14"/>
        <v>5.0135022799524069E-5</v>
      </c>
      <c r="AA68" s="44"/>
    </row>
    <row r="69" spans="1:27">
      <c r="A69" s="45">
        <v>3.6</v>
      </c>
      <c r="B69" s="259" t="s">
        <v>52</v>
      </c>
      <c r="C69" s="37"/>
      <c r="D69" s="37"/>
      <c r="E69" s="37"/>
      <c r="F69" s="37"/>
      <c r="G69" s="37"/>
      <c r="H69" s="37"/>
      <c r="I69" s="37"/>
      <c r="J69" s="125">
        <f t="shared" si="9"/>
        <v>5647.0588235294117</v>
      </c>
      <c r="K69" s="272">
        <f>8000</f>
        <v>8000</v>
      </c>
      <c r="L69" s="239"/>
      <c r="M69" s="239"/>
      <c r="N69" s="240">
        <f t="shared" si="10"/>
        <v>4705.8823529411766</v>
      </c>
      <c r="O69" s="240">
        <f t="shared" si="15"/>
        <v>2352.9411764705883</v>
      </c>
      <c r="P69" s="240">
        <f t="shared" si="16"/>
        <v>941.17647058823525</v>
      </c>
      <c r="Q69" s="240">
        <f t="shared" ref="Q69:Q84" si="17">+(K69/$V$66*$Q$65)+(J69/$V$65*$Q$65)</f>
        <v>0</v>
      </c>
      <c r="R69" s="240">
        <f t="shared" si="11"/>
        <v>0</v>
      </c>
      <c r="S69" s="240">
        <f t="shared" si="12"/>
        <v>0</v>
      </c>
      <c r="T69" s="240">
        <f t="shared" si="13"/>
        <v>8000</v>
      </c>
      <c r="U69" s="41"/>
      <c r="V69" s="8"/>
      <c r="W69" s="8"/>
      <c r="X69" s="50">
        <f t="shared" si="14"/>
        <v>5.6853259714123138E-4</v>
      </c>
    </row>
    <row r="70" spans="1:27">
      <c r="A70" s="45">
        <v>3.7</v>
      </c>
      <c r="B70" s="36" t="s">
        <v>38</v>
      </c>
      <c r="C70" s="37"/>
      <c r="D70" s="37"/>
      <c r="E70" s="37"/>
      <c r="F70" s="37"/>
      <c r="G70" s="37"/>
      <c r="H70" s="37"/>
      <c r="I70" s="37"/>
      <c r="J70" s="125">
        <f t="shared" si="9"/>
        <v>7976.4705882352946</v>
      </c>
      <c r="K70" s="272">
        <f>6485+(845+833+918+1059+800)+150+210</f>
        <v>11300</v>
      </c>
      <c r="L70" s="239"/>
      <c r="M70" s="239"/>
      <c r="N70" s="240">
        <f>(K70/$V$66*$N$65)+(J70/$V$65*$N$65)</f>
        <v>6647.0588235294126</v>
      </c>
      <c r="O70" s="240">
        <f>(J70/$V$65*$O$65)</f>
        <v>3323.5294117647063</v>
      </c>
      <c r="P70" s="240">
        <f t="shared" si="16"/>
        <v>1329.4117647058824</v>
      </c>
      <c r="Q70" s="240">
        <f t="shared" si="17"/>
        <v>0</v>
      </c>
      <c r="R70" s="240">
        <f t="shared" si="11"/>
        <v>0</v>
      </c>
      <c r="S70" s="240">
        <f t="shared" si="12"/>
        <v>0</v>
      </c>
      <c r="T70" s="240">
        <f t="shared" si="13"/>
        <v>11300.000000000002</v>
      </c>
      <c r="U70" s="41"/>
      <c r="V70" s="8"/>
      <c r="W70" s="8"/>
      <c r="X70" s="50">
        <f t="shared" si="14"/>
        <v>8.0305229346198947E-4</v>
      </c>
    </row>
    <row r="71" spans="1:27">
      <c r="A71" s="45">
        <v>3.8</v>
      </c>
      <c r="B71" s="36" t="s">
        <v>39</v>
      </c>
      <c r="C71" s="37"/>
      <c r="D71" s="37"/>
      <c r="E71" s="37"/>
      <c r="F71" s="37"/>
      <c r="G71" s="37"/>
      <c r="H71" s="37"/>
      <c r="I71" s="37"/>
      <c r="J71" s="125">
        <f t="shared" si="9"/>
        <v>2527.0588235294117</v>
      </c>
      <c r="K71" s="272">
        <f>200+100+300+480+1000+200+700+600</f>
        <v>3580</v>
      </c>
      <c r="L71" s="239"/>
      <c r="M71" s="239"/>
      <c r="N71" s="240">
        <f t="shared" si="10"/>
        <v>2105.8823529411766</v>
      </c>
      <c r="O71" s="240">
        <f t="shared" si="15"/>
        <v>1052.9411764705883</v>
      </c>
      <c r="P71" s="240">
        <f t="shared" si="16"/>
        <v>421.1764705882353</v>
      </c>
      <c r="Q71" s="240">
        <f t="shared" si="17"/>
        <v>0</v>
      </c>
      <c r="R71" s="240">
        <f t="shared" si="11"/>
        <v>0</v>
      </c>
      <c r="S71" s="240">
        <f>(K71/$V$66*$S$65)+(J71/$V$65*$S$65)</f>
        <v>0</v>
      </c>
      <c r="T71" s="240">
        <f t="shared" si="13"/>
        <v>3580</v>
      </c>
      <c r="U71" s="41"/>
      <c r="V71" s="8"/>
      <c r="W71" s="8"/>
      <c r="X71" s="50">
        <f t="shared" si="14"/>
        <v>2.5441833722070103E-4</v>
      </c>
    </row>
    <row r="72" spans="1:27">
      <c r="A72" s="45">
        <v>3.9</v>
      </c>
      <c r="B72" s="36" t="s">
        <v>158</v>
      </c>
      <c r="C72" s="37"/>
      <c r="D72" s="37"/>
      <c r="E72" s="37"/>
      <c r="F72" s="37"/>
      <c r="G72" s="37"/>
      <c r="H72" s="37"/>
      <c r="I72" s="37"/>
      <c r="J72" s="125">
        <f t="shared" si="9"/>
        <v>759.52941176470586</v>
      </c>
      <c r="K72" s="272">
        <f>(98+49+49+372+88+88+142)+(10+10+40+50+40+40)</f>
        <v>1076</v>
      </c>
      <c r="L72" s="239"/>
      <c r="M72" s="239"/>
      <c r="N72" s="240">
        <f>(K72/$V$66*$N$65)+(J72/$V$65*$N$65)</f>
        <v>632.94117647058829</v>
      </c>
      <c r="O72" s="240">
        <f t="shared" si="15"/>
        <v>316.47058823529409</v>
      </c>
      <c r="P72" s="240">
        <f t="shared" si="16"/>
        <v>126.58823529411764</v>
      </c>
      <c r="Q72" s="240">
        <f t="shared" si="17"/>
        <v>0</v>
      </c>
      <c r="R72" s="240">
        <f t="shared" si="11"/>
        <v>0</v>
      </c>
      <c r="S72" s="240">
        <f t="shared" si="12"/>
        <v>0</v>
      </c>
      <c r="T72" s="240">
        <f>SUM(L72:S72)</f>
        <v>1076</v>
      </c>
      <c r="U72" s="41"/>
      <c r="V72" s="8"/>
      <c r="W72" s="8"/>
      <c r="X72" s="50">
        <f t="shared" si="14"/>
        <v>7.6467634315495621E-5</v>
      </c>
    </row>
    <row r="73" spans="1:27" s="43" customFormat="1">
      <c r="A73" s="91" t="s">
        <v>53</v>
      </c>
      <c r="B73" s="36" t="s">
        <v>54</v>
      </c>
      <c r="C73" s="37"/>
      <c r="D73" s="37"/>
      <c r="E73" s="37"/>
      <c r="F73" s="37"/>
      <c r="G73" s="37"/>
      <c r="H73" s="37"/>
      <c r="I73" s="37"/>
      <c r="J73" s="125">
        <f t="shared" si="9"/>
        <v>42352.941176470587</v>
      </c>
      <c r="K73" s="272">
        <v>60000</v>
      </c>
      <c r="L73" s="239"/>
      <c r="M73" s="239"/>
      <c r="N73" s="240">
        <f>(K73/$V$66*$N$65)+(J73/$V$65*$N$65)</f>
        <v>35294.117647058825</v>
      </c>
      <c r="O73" s="240">
        <f t="shared" si="15"/>
        <v>17647.058823529413</v>
      </c>
      <c r="P73" s="240">
        <f t="shared" si="16"/>
        <v>7058.8235294117649</v>
      </c>
      <c r="Q73" s="240">
        <f t="shared" si="17"/>
        <v>0</v>
      </c>
      <c r="R73" s="240">
        <f t="shared" si="11"/>
        <v>0</v>
      </c>
      <c r="S73" s="240">
        <f t="shared" si="12"/>
        <v>0</v>
      </c>
      <c r="T73" s="240">
        <f>SUM(L73:S73)</f>
        <v>60000</v>
      </c>
      <c r="U73" s="41"/>
      <c r="V73" s="8"/>
      <c r="W73" s="9"/>
      <c r="X73" s="42">
        <f t="shared" si="14"/>
        <v>4.2639944785592349E-3</v>
      </c>
      <c r="AA73" s="44"/>
    </row>
    <row r="74" spans="1:27" s="43" customFormat="1">
      <c r="A74" s="35">
        <v>3.11</v>
      </c>
      <c r="B74" s="36" t="s">
        <v>120</v>
      </c>
      <c r="C74" s="37"/>
      <c r="D74" s="37"/>
      <c r="E74" s="37"/>
      <c r="F74" s="37"/>
      <c r="G74" s="37"/>
      <c r="H74" s="37"/>
      <c r="I74" s="37"/>
      <c r="J74" s="125">
        <f t="shared" si="9"/>
        <v>8442.8470588235305</v>
      </c>
      <c r="K74" s="272">
        <f>11732.7+228</f>
        <v>11960.7</v>
      </c>
      <c r="L74" s="239"/>
      <c r="M74" s="239"/>
      <c r="N74" s="240">
        <f t="shared" si="10"/>
        <v>7035.7058823529414</v>
      </c>
      <c r="O74" s="240">
        <f t="shared" si="15"/>
        <v>3517.8529411764707</v>
      </c>
      <c r="P74" s="240">
        <f t="shared" si="16"/>
        <v>1407.1411764705883</v>
      </c>
      <c r="Q74" s="240">
        <f t="shared" si="17"/>
        <v>0</v>
      </c>
      <c r="R74" s="240">
        <f t="shared" si="11"/>
        <v>0</v>
      </c>
      <c r="S74" s="240">
        <f t="shared" si="12"/>
        <v>0</v>
      </c>
      <c r="T74" s="240">
        <f t="shared" si="13"/>
        <v>11960.7</v>
      </c>
      <c r="U74" s="41"/>
      <c r="V74" s="8"/>
      <c r="W74" s="9"/>
      <c r="X74" s="42">
        <f t="shared" si="14"/>
        <v>8.5000597932839077E-4</v>
      </c>
      <c r="AA74" s="44"/>
    </row>
    <row r="75" spans="1:27" ht="13.5" customHeight="1">
      <c r="A75" s="45">
        <v>3.12</v>
      </c>
      <c r="B75" s="36" t="s">
        <v>43</v>
      </c>
      <c r="C75" s="37"/>
      <c r="D75" s="37"/>
      <c r="E75" s="37"/>
      <c r="F75" s="37"/>
      <c r="G75" s="37"/>
      <c r="H75" s="37"/>
      <c r="I75" s="37"/>
      <c r="J75" s="125">
        <f t="shared" si="9"/>
        <v>3488.1529411764704</v>
      </c>
      <c r="K75" s="272">
        <f>2034.55+2907</f>
        <v>4941.55</v>
      </c>
      <c r="L75" s="239"/>
      <c r="M75" s="239"/>
      <c r="N75" s="240">
        <f t="shared" si="10"/>
        <v>2906.794117647059</v>
      </c>
      <c r="O75" s="240">
        <f t="shared" si="15"/>
        <v>1453.3970588235295</v>
      </c>
      <c r="P75" s="240">
        <f t="shared" si="16"/>
        <v>581.35882352941178</v>
      </c>
      <c r="Q75" s="240">
        <f t="shared" si="17"/>
        <v>0</v>
      </c>
      <c r="R75" s="240">
        <f t="shared" si="11"/>
        <v>0</v>
      </c>
      <c r="S75" s="240">
        <f t="shared" si="12"/>
        <v>0</v>
      </c>
      <c r="T75" s="240">
        <f t="shared" si="13"/>
        <v>4941.55</v>
      </c>
      <c r="U75" s="41"/>
      <c r="V75" s="8"/>
      <c r="W75" s="8"/>
      <c r="X75" s="50">
        <f t="shared" si="14"/>
        <v>3.5117903192540651E-4</v>
      </c>
    </row>
    <row r="76" spans="1:27" ht="13.5" customHeight="1">
      <c r="A76" s="45">
        <v>3.13</v>
      </c>
      <c r="B76" s="46" t="s">
        <v>44</v>
      </c>
      <c r="C76" s="47"/>
      <c r="D76" s="47"/>
      <c r="E76" s="47"/>
      <c r="F76" s="47"/>
      <c r="G76" s="47"/>
      <c r="H76" s="47"/>
      <c r="I76" s="47"/>
      <c r="J76" s="125">
        <f t="shared" si="9"/>
        <v>5361.1270588235293</v>
      </c>
      <c r="K76" s="272">
        <f>1487+1675+1941.93+1892+599</f>
        <v>7594.93</v>
      </c>
      <c r="L76" s="239"/>
      <c r="M76" s="239"/>
      <c r="N76" s="240">
        <f t="shared" si="10"/>
        <v>4467.6058823529411</v>
      </c>
      <c r="O76" s="240">
        <f t="shared" si="15"/>
        <v>2233.8029411764705</v>
      </c>
      <c r="P76" s="240">
        <f t="shared" si="16"/>
        <v>893.52117647058822</v>
      </c>
      <c r="Q76" s="240">
        <f t="shared" si="17"/>
        <v>0</v>
      </c>
      <c r="R76" s="240">
        <f t="shared" si="11"/>
        <v>0</v>
      </c>
      <c r="S76" s="240">
        <f t="shared" si="12"/>
        <v>0</v>
      </c>
      <c r="T76" s="240">
        <f t="shared" si="13"/>
        <v>7594.9299999999994</v>
      </c>
      <c r="U76" s="41"/>
      <c r="V76" s="8"/>
      <c r="W76" s="8"/>
      <c r="X76" s="50">
        <f t="shared" si="14"/>
        <v>5.3974565975073148E-4</v>
      </c>
    </row>
    <row r="77" spans="1:27" ht="13.5" customHeight="1">
      <c r="A77" s="45">
        <v>3.14</v>
      </c>
      <c r="B77" s="46" t="s">
        <v>55</v>
      </c>
      <c r="C77" s="47"/>
      <c r="D77" s="47"/>
      <c r="E77" s="47"/>
      <c r="F77" s="47"/>
      <c r="G77" s="47"/>
      <c r="H77" s="47"/>
      <c r="I77" s="47"/>
      <c r="J77" s="125">
        <f t="shared" si="9"/>
        <v>1863.9247058823528</v>
      </c>
      <c r="K77" s="272">
        <f>1320+1320.56</f>
        <v>2640.56</v>
      </c>
      <c r="L77" s="239"/>
      <c r="M77" s="239"/>
      <c r="N77" s="240">
        <f t="shared" si="10"/>
        <v>1553.2705882352939</v>
      </c>
      <c r="O77" s="240">
        <f t="shared" si="15"/>
        <v>776.63529411764694</v>
      </c>
      <c r="P77" s="240">
        <f t="shared" si="16"/>
        <v>310.6541176470588</v>
      </c>
      <c r="Q77" s="240">
        <f>+(K77/$V$66*$Q$65)+(J77/$V$65*$Q$65)</f>
        <v>0</v>
      </c>
      <c r="R77" s="240">
        <f>+(K77/$V$66*$R$65)+(J77/$V$65*$R$65)</f>
        <v>0</v>
      </c>
      <c r="S77" s="240">
        <f>(K77/$V$66*$S$65)+(J77/$V$65*$S$65)</f>
        <v>0</v>
      </c>
      <c r="T77" s="240">
        <f t="shared" si="13"/>
        <v>2640.5599999999995</v>
      </c>
      <c r="U77" s="41"/>
      <c r="V77" s="8"/>
      <c r="W77" s="8"/>
      <c r="X77" s="50">
        <f t="shared" si="14"/>
        <v>1.8765555433840621E-4</v>
      </c>
    </row>
    <row r="78" spans="1:27" ht="13.5" customHeight="1">
      <c r="A78" s="45">
        <v>3.15</v>
      </c>
      <c r="B78" s="46" t="s">
        <v>140</v>
      </c>
      <c r="C78" s="47"/>
      <c r="D78" s="47"/>
      <c r="E78" s="47"/>
      <c r="F78" s="47"/>
      <c r="G78" s="47"/>
      <c r="H78" s="47"/>
      <c r="I78" s="47"/>
      <c r="J78" s="125">
        <f t="shared" si="9"/>
        <v>2047.0588235294117</v>
      </c>
      <c r="K78" s="272">
        <f>2900</f>
        <v>2900</v>
      </c>
      <c r="L78" s="239"/>
      <c r="M78" s="239"/>
      <c r="N78" s="240">
        <f t="shared" si="10"/>
        <v>1705.8823529411766</v>
      </c>
      <c r="O78" s="240">
        <f t="shared" si="15"/>
        <v>852.94117647058829</v>
      </c>
      <c r="P78" s="240">
        <f t="shared" si="16"/>
        <v>341.1764705882353</v>
      </c>
      <c r="Q78" s="240">
        <f>+(K78/$V$66*$Q$65)+(J78/$V$65*$Q$65)</f>
        <v>0</v>
      </c>
      <c r="R78" s="240">
        <f>+(K78/$V$66*$R$65)+(J78/$V$65*$R$65)</f>
        <v>0</v>
      </c>
      <c r="S78" s="240">
        <f>(K78/$V$66*$S$65)+(J78/$V$65*$S$65)</f>
        <v>0</v>
      </c>
      <c r="T78" s="240">
        <f t="shared" si="13"/>
        <v>2900</v>
      </c>
      <c r="U78" s="41"/>
      <c r="V78" s="8"/>
      <c r="W78" s="8"/>
      <c r="X78" s="50">
        <f t="shared" si="14"/>
        <v>2.0609306646369638E-4</v>
      </c>
    </row>
    <row r="79" spans="1:27" ht="13.5" customHeight="1">
      <c r="A79" s="45">
        <v>3.16</v>
      </c>
      <c r="B79" s="46" t="s">
        <v>24</v>
      </c>
      <c r="C79" s="47"/>
      <c r="D79" s="47"/>
      <c r="E79" s="47"/>
      <c r="F79" s="47"/>
      <c r="G79" s="47"/>
      <c r="H79" s="47"/>
      <c r="I79" s="47"/>
      <c r="J79" s="125">
        <f t="shared" si="9"/>
        <v>54296.470588235301</v>
      </c>
      <c r="K79" s="272">
        <f>26200+24720+26000</f>
        <v>76920</v>
      </c>
      <c r="L79" s="239"/>
      <c r="M79" s="239"/>
      <c r="N79" s="240">
        <f t="shared" si="10"/>
        <v>45247.058823529413</v>
      </c>
      <c r="O79" s="240">
        <f t="shared" si="15"/>
        <v>22623.529411764706</v>
      </c>
      <c r="P79" s="240">
        <f t="shared" si="16"/>
        <v>9049.4117647058829</v>
      </c>
      <c r="Q79" s="240">
        <f t="shared" si="17"/>
        <v>0</v>
      </c>
      <c r="R79" s="240">
        <f t="shared" si="11"/>
        <v>0</v>
      </c>
      <c r="S79" s="240">
        <f t="shared" si="12"/>
        <v>0</v>
      </c>
      <c r="T79" s="240">
        <f t="shared" si="13"/>
        <v>76920.000000000015</v>
      </c>
      <c r="U79" s="41"/>
      <c r="V79" s="8"/>
      <c r="W79" s="8"/>
      <c r="X79" s="50">
        <f t="shared" si="14"/>
        <v>5.466440921512941E-3</v>
      </c>
    </row>
    <row r="80" spans="1:27" ht="13.5" customHeight="1">
      <c r="A80" s="45">
        <v>3.17</v>
      </c>
      <c r="B80" s="46" t="s">
        <v>144</v>
      </c>
      <c r="C80" s="47"/>
      <c r="D80" s="47"/>
      <c r="E80" s="47"/>
      <c r="F80" s="47"/>
      <c r="G80" s="47"/>
      <c r="H80" s="47"/>
      <c r="I80" s="47"/>
      <c r="J80" s="125">
        <f t="shared" si="9"/>
        <v>0</v>
      </c>
      <c r="K80" s="272">
        <v>0</v>
      </c>
      <c r="L80" s="239"/>
      <c r="M80" s="239"/>
      <c r="N80" s="240">
        <f t="shared" si="10"/>
        <v>0</v>
      </c>
      <c r="O80" s="240">
        <f t="shared" si="15"/>
        <v>0</v>
      </c>
      <c r="P80" s="240">
        <f t="shared" si="16"/>
        <v>0</v>
      </c>
      <c r="Q80" s="240">
        <f t="shared" si="17"/>
        <v>0</v>
      </c>
      <c r="R80" s="240">
        <f t="shared" si="11"/>
        <v>0</v>
      </c>
      <c r="S80" s="240">
        <f t="shared" si="12"/>
        <v>0</v>
      </c>
      <c r="T80" s="240">
        <f t="shared" si="13"/>
        <v>0</v>
      </c>
      <c r="U80" s="41"/>
      <c r="V80" s="8"/>
      <c r="W80" s="8"/>
      <c r="X80" s="50">
        <f t="shared" si="14"/>
        <v>0</v>
      </c>
    </row>
    <row r="81" spans="1:28" ht="13.5" customHeight="1">
      <c r="A81" s="45">
        <v>3.18</v>
      </c>
      <c r="B81" s="46" t="s">
        <v>46</v>
      </c>
      <c r="C81" s="47"/>
      <c r="D81" s="47"/>
      <c r="E81" s="47"/>
      <c r="F81" s="47"/>
      <c r="G81" s="47"/>
      <c r="H81" s="47"/>
      <c r="I81" s="47"/>
      <c r="J81" s="125">
        <f t="shared" si="9"/>
        <v>2009.6470588235293</v>
      </c>
      <c r="K81" s="272">
        <f>2000+338+509</f>
        <v>2847</v>
      </c>
      <c r="L81" s="239"/>
      <c r="M81" s="239"/>
      <c r="N81" s="240">
        <f t="shared" si="10"/>
        <v>1674.7058823529412</v>
      </c>
      <c r="O81" s="240">
        <f t="shared" si="15"/>
        <v>837.35294117647061</v>
      </c>
      <c r="P81" s="240">
        <f t="shared" si="16"/>
        <v>334.94117647058823</v>
      </c>
      <c r="Q81" s="240">
        <f t="shared" si="17"/>
        <v>0</v>
      </c>
      <c r="R81" s="240">
        <f t="shared" si="11"/>
        <v>0</v>
      </c>
      <c r="S81" s="240">
        <f t="shared" si="12"/>
        <v>0</v>
      </c>
      <c r="T81" s="240">
        <f t="shared" si="13"/>
        <v>2847</v>
      </c>
      <c r="U81" s="41"/>
      <c r="V81" s="8"/>
      <c r="W81" s="8"/>
      <c r="X81" s="50">
        <f t="shared" si="14"/>
        <v>2.0232653800763572E-4</v>
      </c>
    </row>
    <row r="82" spans="1:28" ht="13.5" customHeight="1">
      <c r="A82" s="45">
        <v>3.19</v>
      </c>
      <c r="B82" s="46" t="s">
        <v>56</v>
      </c>
      <c r="C82" s="47"/>
      <c r="D82" s="47"/>
      <c r="E82" s="47"/>
      <c r="F82" s="47"/>
      <c r="G82" s="47"/>
      <c r="H82" s="47"/>
      <c r="I82" s="47"/>
      <c r="J82" s="125">
        <f t="shared" si="9"/>
        <v>7050.3529411764703</v>
      </c>
      <c r="K82" s="272">
        <f>6900+3088</f>
        <v>9988</v>
      </c>
      <c r="L82" s="239"/>
      <c r="M82" s="239"/>
      <c r="N82" s="240">
        <f t="shared" si="10"/>
        <v>5875.2941176470586</v>
      </c>
      <c r="O82" s="240">
        <f t="shared" si="15"/>
        <v>2937.6470588235293</v>
      </c>
      <c r="P82" s="240">
        <f t="shared" si="16"/>
        <v>1175.0588235294117</v>
      </c>
      <c r="Q82" s="240">
        <f t="shared" si="17"/>
        <v>0</v>
      </c>
      <c r="R82" s="240">
        <f t="shared" si="11"/>
        <v>0</v>
      </c>
      <c r="S82" s="240">
        <f t="shared" si="12"/>
        <v>0</v>
      </c>
      <c r="T82" s="240">
        <f t="shared" si="13"/>
        <v>9988</v>
      </c>
      <c r="U82" s="41"/>
      <c r="V82" s="8"/>
      <c r="W82" s="8"/>
      <c r="X82" s="50">
        <f t="shared" si="14"/>
        <v>7.0981294753082733E-4</v>
      </c>
    </row>
    <row r="83" spans="1:28" s="188" customFormat="1" ht="13.5" customHeight="1">
      <c r="A83" s="180" t="s">
        <v>57</v>
      </c>
      <c r="B83" s="181" t="s">
        <v>141</v>
      </c>
      <c r="C83" s="194"/>
      <c r="D83" s="182"/>
      <c r="E83" s="182"/>
      <c r="F83" s="182"/>
      <c r="G83" s="182"/>
      <c r="H83" s="182"/>
      <c r="I83" s="182"/>
      <c r="J83" s="125">
        <f t="shared" si="9"/>
        <v>8372.6188235294103</v>
      </c>
      <c r="K83" s="272">
        <f>10907+(854.21+100)</f>
        <v>11861.21</v>
      </c>
      <c r="L83" s="239"/>
      <c r="M83" s="239"/>
      <c r="N83" s="237">
        <f t="shared" si="10"/>
        <v>6977.1823529411758</v>
      </c>
      <c r="O83" s="240">
        <f t="shared" si="15"/>
        <v>3488.5911764705879</v>
      </c>
      <c r="P83" s="240">
        <f t="shared" si="16"/>
        <v>1395.4364705882351</v>
      </c>
      <c r="Q83" s="237">
        <f t="shared" si="17"/>
        <v>0</v>
      </c>
      <c r="R83" s="237">
        <f t="shared" si="11"/>
        <v>0</v>
      </c>
      <c r="S83" s="237">
        <f t="shared" si="12"/>
        <v>0</v>
      </c>
      <c r="T83" s="237">
        <f t="shared" si="13"/>
        <v>11861.209999999997</v>
      </c>
      <c r="U83" s="186"/>
      <c r="V83" s="193"/>
      <c r="W83" s="193"/>
      <c r="X83" s="187">
        <f t="shared" si="14"/>
        <v>8.4293556581719296E-4</v>
      </c>
      <c r="AA83" s="189"/>
    </row>
    <row r="84" spans="1:28" ht="13.5" customHeight="1">
      <c r="A84" s="51">
        <v>3.21</v>
      </c>
      <c r="B84" s="46" t="s">
        <v>135</v>
      </c>
      <c r="C84" s="47"/>
      <c r="D84" s="47"/>
      <c r="E84" s="47"/>
      <c r="F84" s="47"/>
      <c r="G84" s="47"/>
      <c r="H84" s="47"/>
      <c r="I84" s="47"/>
      <c r="J84" s="125">
        <f t="shared" si="9"/>
        <v>5882.8235294117649</v>
      </c>
      <c r="K84" s="272">
        <v>8334</v>
      </c>
      <c r="L84" s="239"/>
      <c r="M84" s="239"/>
      <c r="N84" s="240">
        <f t="shared" si="10"/>
        <v>4902.3529411764703</v>
      </c>
      <c r="O84" s="240">
        <f t="shared" si="15"/>
        <v>2451.1764705882351</v>
      </c>
      <c r="P84" s="240">
        <f t="shared" si="16"/>
        <v>980.47058823529414</v>
      </c>
      <c r="Q84" s="240">
        <f t="shared" si="17"/>
        <v>0</v>
      </c>
      <c r="R84" s="240">
        <f t="shared" si="11"/>
        <v>0</v>
      </c>
      <c r="S84" s="240">
        <f>(K84/$V$66*$S$65)+(J84/$V$65*$S$65)</f>
        <v>0</v>
      </c>
      <c r="T84" s="240">
        <f t="shared" si="13"/>
        <v>8334</v>
      </c>
      <c r="U84" s="41"/>
      <c r="V84" s="8"/>
      <c r="W84" s="8"/>
      <c r="X84" s="50">
        <f>T84/$T$88</f>
        <v>5.9226883307187783E-4</v>
      </c>
    </row>
    <row r="85" spans="1:28" ht="13.5" customHeight="1">
      <c r="A85" s="92"/>
      <c r="B85" s="77" t="s">
        <v>59</v>
      </c>
      <c r="C85" s="78"/>
      <c r="D85" s="78"/>
      <c r="E85" s="78"/>
      <c r="F85" s="78"/>
      <c r="G85" s="78"/>
      <c r="H85" s="78"/>
      <c r="I85" s="78"/>
      <c r="J85" s="171">
        <f t="shared" ref="J85:S85" si="18">SUM(J66:J84)</f>
        <v>158576.05806144324</v>
      </c>
      <c r="K85" s="171">
        <f>SUM(K66:K84)</f>
        <v>224649.41558704452</v>
      </c>
      <c r="L85" s="171">
        <f>SUM(L66:L84)</f>
        <v>0</v>
      </c>
      <c r="M85" s="171">
        <f>SUM(M66:M84)</f>
        <v>0</v>
      </c>
      <c r="N85" s="171">
        <f>SUM(N66:N84)</f>
        <v>132146.71505120266</v>
      </c>
      <c r="O85" s="171">
        <f>SUM(O66:O84)</f>
        <v>66073.357525601328</v>
      </c>
      <c r="P85" s="171">
        <f t="shared" si="18"/>
        <v>26429.343010240536</v>
      </c>
      <c r="Q85" s="171">
        <f t="shared" si="18"/>
        <v>0</v>
      </c>
      <c r="R85" s="171">
        <f t="shared" si="18"/>
        <v>0</v>
      </c>
      <c r="S85" s="171">
        <f t="shared" si="18"/>
        <v>0</v>
      </c>
      <c r="T85" s="171">
        <f>SUM(T66:T84)</f>
        <v>224649.41558704452</v>
      </c>
      <c r="U85" s="33"/>
      <c r="V85" s="8"/>
      <c r="W85" s="8"/>
      <c r="X85" s="58">
        <f>T85/$T$88</f>
        <v>1.5965064461245283E-2</v>
      </c>
    </row>
    <row r="86" spans="1:28" s="1" customFormat="1">
      <c r="A86" s="52" t="s">
        <v>60</v>
      </c>
      <c r="B86" s="53"/>
      <c r="C86" s="54"/>
      <c r="D86" s="54"/>
      <c r="E86" s="54"/>
      <c r="F86" s="54"/>
      <c r="G86" s="54"/>
      <c r="H86" s="54"/>
      <c r="I86" s="54"/>
      <c r="J86" s="56"/>
      <c r="K86" s="57">
        <f t="shared" ref="K86:T86" si="19">+K62+K85</f>
        <v>660759.41558704455</v>
      </c>
      <c r="L86" s="57">
        <f t="shared" si="19"/>
        <v>0</v>
      </c>
      <c r="M86" s="57">
        <f t="shared" si="19"/>
        <v>0</v>
      </c>
      <c r="N86" s="57">
        <f t="shared" si="19"/>
        <v>313859.21505120269</v>
      </c>
      <c r="O86" s="57">
        <f>+O62+O85</f>
        <v>247785.85752560134</v>
      </c>
      <c r="P86" s="57">
        <f>+P62+P85</f>
        <v>99114.34301024054</v>
      </c>
      <c r="Q86" s="57">
        <f t="shared" si="19"/>
        <v>0</v>
      </c>
      <c r="R86" s="57">
        <f t="shared" si="19"/>
        <v>0</v>
      </c>
      <c r="S86" s="57">
        <f t="shared" si="19"/>
        <v>0</v>
      </c>
      <c r="T86" s="57">
        <f t="shared" si="19"/>
        <v>660759.41558704455</v>
      </c>
      <c r="U86" s="33"/>
      <c r="V86" s="5"/>
      <c r="X86" s="85"/>
      <c r="AA86" s="11"/>
      <c r="AB86" s="7"/>
    </row>
    <row r="87" spans="1:28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"/>
    </row>
    <row r="88" spans="1:28" s="1" customFormat="1">
      <c r="A88" s="52" t="s">
        <v>61</v>
      </c>
      <c r="B88" s="53"/>
      <c r="C88" s="54"/>
      <c r="D88" s="54"/>
      <c r="E88" s="54"/>
      <c r="F88" s="54"/>
      <c r="G88" s="54"/>
      <c r="H88" s="54"/>
      <c r="I88" s="54"/>
      <c r="J88" s="55"/>
      <c r="K88" s="57"/>
      <c r="L88" s="57">
        <f t="shared" ref="L88:T88" si="20">+L31+L52+L86</f>
        <v>0</v>
      </c>
      <c r="M88" s="57">
        <f t="shared" si="20"/>
        <v>0</v>
      </c>
      <c r="N88" s="57">
        <f>+N31+N52+N86</f>
        <v>3736547.7640292658</v>
      </c>
      <c r="O88" s="57">
        <f t="shared" si="20"/>
        <v>7004892.9531438844</v>
      </c>
      <c r="P88" s="57">
        <f t="shared" si="20"/>
        <v>3329872.0628268495</v>
      </c>
      <c r="Q88" s="57">
        <f t="shared" si="20"/>
        <v>0</v>
      </c>
      <c r="R88" s="57">
        <f t="shared" si="20"/>
        <v>0</v>
      </c>
      <c r="S88" s="57">
        <f t="shared" si="20"/>
        <v>0</v>
      </c>
      <c r="T88" s="57">
        <f t="shared" si="20"/>
        <v>14071312.779999999</v>
      </c>
      <c r="U88" s="33"/>
      <c r="V88" s="5"/>
      <c r="X88" s="58">
        <f>T88/$T$88</f>
        <v>1</v>
      </c>
      <c r="AA88" s="11"/>
      <c r="AB88" s="7"/>
    </row>
    <row r="89" spans="1:28" s="1" customFormat="1">
      <c r="A89" s="1038" t="s">
        <v>62</v>
      </c>
      <c r="B89" s="1039"/>
      <c r="C89" s="68"/>
      <c r="D89" s="68"/>
      <c r="E89" s="68"/>
      <c r="F89" s="68"/>
      <c r="G89" s="68"/>
      <c r="H89" s="68"/>
      <c r="I89" s="68"/>
      <c r="J89" s="69"/>
      <c r="K89" s="70">
        <f>+K39</f>
        <v>0</v>
      </c>
      <c r="L89" s="70">
        <f t="shared" ref="L89:T89" si="21">L39</f>
        <v>0</v>
      </c>
      <c r="M89" s="70">
        <f t="shared" si="21"/>
        <v>0</v>
      </c>
      <c r="N89" s="70">
        <f>N39</f>
        <v>3891835.0800000005</v>
      </c>
      <c r="O89" s="70">
        <f>O39</f>
        <v>7160692.3700000001</v>
      </c>
      <c r="P89" s="70">
        <f t="shared" si="21"/>
        <v>3468012.09</v>
      </c>
      <c r="Q89" s="70">
        <f>Q39</f>
        <v>0</v>
      </c>
      <c r="R89" s="70">
        <f t="shared" si="21"/>
        <v>98495</v>
      </c>
      <c r="S89" s="277">
        <f>S39</f>
        <v>0</v>
      </c>
      <c r="T89" s="70">
        <f t="shared" si="21"/>
        <v>14619034.540000001</v>
      </c>
      <c r="U89" s="33"/>
      <c r="V89" s="5"/>
      <c r="W89" s="94"/>
      <c r="X89" s="276">
        <f>+X85+X62+X52+X31-X88</f>
        <v>0</v>
      </c>
      <c r="Y89" s="94"/>
      <c r="Z89" s="94"/>
      <c r="AA89" s="11"/>
      <c r="AB89" s="7"/>
    </row>
    <row r="90" spans="1:28" s="101" customFormat="1">
      <c r="A90" s="95" t="s">
        <v>63</v>
      </c>
      <c r="B90" s="96" t="s">
        <v>64</v>
      </c>
      <c r="C90" s="96"/>
      <c r="D90" s="96"/>
      <c r="E90" s="96"/>
      <c r="F90" s="96"/>
      <c r="G90" s="96"/>
      <c r="H90" s="96"/>
      <c r="I90" s="96"/>
      <c r="J90" s="97"/>
      <c r="K90" s="98"/>
      <c r="L90" s="83">
        <f t="shared" ref="L90:S90" si="22">L89-L88</f>
        <v>0</v>
      </c>
      <c r="M90" s="83">
        <f t="shared" si="22"/>
        <v>0</v>
      </c>
      <c r="N90" s="83">
        <f>N89-N88</f>
        <v>155287.31597073469</v>
      </c>
      <c r="O90" s="83">
        <f>O89-O88</f>
        <v>155799.41685611568</v>
      </c>
      <c r="P90" s="83">
        <f t="shared" si="22"/>
        <v>138140.02717315033</v>
      </c>
      <c r="Q90" s="83">
        <f t="shared" si="22"/>
        <v>0</v>
      </c>
      <c r="R90" s="83">
        <f t="shared" si="22"/>
        <v>98495</v>
      </c>
      <c r="S90" s="83">
        <f t="shared" si="22"/>
        <v>0</v>
      </c>
      <c r="T90" s="83">
        <f>T89-T88</f>
        <v>547721.76000000164</v>
      </c>
      <c r="U90" s="99"/>
      <c r="V90" s="5"/>
      <c r="W90" s="99"/>
      <c r="X90" s="100"/>
      <c r="Y90" s="99"/>
      <c r="Z90" s="99"/>
      <c r="AA90" s="11"/>
      <c r="AB90" s="7"/>
    </row>
    <row r="91" spans="1:28" s="147" customFormat="1">
      <c r="A91" s="149" t="s">
        <v>113</v>
      </c>
      <c r="B91" s="150" t="s">
        <v>114</v>
      </c>
      <c r="C91" s="150"/>
      <c r="D91" s="150"/>
      <c r="E91" s="150"/>
      <c r="F91" s="150"/>
      <c r="G91" s="150"/>
      <c r="H91" s="150"/>
      <c r="I91" s="150"/>
      <c r="J91" s="151"/>
      <c r="K91" s="152"/>
      <c r="L91" s="153">
        <v>0</v>
      </c>
      <c r="M91" s="153">
        <v>0</v>
      </c>
      <c r="N91" s="153">
        <f t="shared" ref="N91:S91" si="23">N89*3/100</f>
        <v>116755.05240000002</v>
      </c>
      <c r="O91" s="153">
        <f t="shared" si="23"/>
        <v>214820.77109999998</v>
      </c>
      <c r="P91" s="153">
        <f t="shared" si="23"/>
        <v>104040.3627</v>
      </c>
      <c r="Q91" s="153">
        <f t="shared" si="23"/>
        <v>0</v>
      </c>
      <c r="R91" s="153">
        <f t="shared" si="23"/>
        <v>2954.85</v>
      </c>
      <c r="S91" s="153">
        <f t="shared" si="23"/>
        <v>0</v>
      </c>
      <c r="T91" s="153">
        <f>+L91+M91+N91+O91+P91+R91+S91</f>
        <v>438571.03619999997</v>
      </c>
      <c r="U91" s="99"/>
      <c r="V91" s="124"/>
      <c r="W91" s="99"/>
      <c r="X91" s="100"/>
      <c r="Y91" s="99"/>
      <c r="Z91" s="99"/>
      <c r="AA91" s="11"/>
      <c r="AB91" s="7"/>
    </row>
    <row r="92" spans="1:28" s="147" customFormat="1">
      <c r="A92" s="149" t="s">
        <v>115</v>
      </c>
      <c r="B92" s="150" t="s">
        <v>116</v>
      </c>
      <c r="C92" s="150"/>
      <c r="D92" s="150"/>
      <c r="E92" s="150"/>
      <c r="F92" s="150"/>
      <c r="G92" s="150"/>
      <c r="H92" s="150"/>
      <c r="I92" s="150"/>
      <c r="J92" s="151"/>
      <c r="K92" s="152"/>
      <c r="L92" s="153">
        <f t="shared" ref="L92:T92" si="24">+L90-L91</f>
        <v>0</v>
      </c>
      <c r="M92" s="153">
        <f t="shared" si="24"/>
        <v>0</v>
      </c>
      <c r="N92" s="153">
        <f t="shared" si="24"/>
        <v>38532.263570734678</v>
      </c>
      <c r="O92" s="153">
        <f t="shared" si="24"/>
        <v>-59021.3542438843</v>
      </c>
      <c r="P92" s="153">
        <f t="shared" si="24"/>
        <v>34099.664473150333</v>
      </c>
      <c r="Q92" s="153">
        <f t="shared" si="24"/>
        <v>0</v>
      </c>
      <c r="R92" s="153">
        <f t="shared" si="24"/>
        <v>95540.15</v>
      </c>
      <c r="S92" s="153">
        <f t="shared" si="24"/>
        <v>0</v>
      </c>
      <c r="T92" s="153">
        <f t="shared" si="24"/>
        <v>109150.72380000167</v>
      </c>
      <c r="U92" s="99"/>
      <c r="V92" s="124"/>
      <c r="W92" s="99"/>
      <c r="X92" s="100"/>
      <c r="Y92" s="99"/>
      <c r="Z92" s="99"/>
      <c r="AA92" s="11"/>
      <c r="AB92" s="7"/>
    </row>
    <row r="93" spans="1:28">
      <c r="J93" s="142"/>
      <c r="L93" s="102"/>
      <c r="M93" s="102"/>
      <c r="N93" s="102"/>
      <c r="O93" s="102"/>
      <c r="P93" s="102"/>
      <c r="Q93" s="102"/>
      <c r="R93" s="1044" t="s">
        <v>65</v>
      </c>
      <c r="S93" s="1044"/>
      <c r="T93" s="83">
        <f>L90+M90+N90+R90+S90</f>
        <v>253782.31597073469</v>
      </c>
    </row>
    <row r="94" spans="1:28">
      <c r="L94" s="102"/>
      <c r="M94" s="102"/>
      <c r="N94" s="102"/>
      <c r="O94" s="102"/>
      <c r="P94" s="102"/>
      <c r="Q94" s="102"/>
      <c r="R94" s="1055" t="s">
        <v>66</v>
      </c>
      <c r="S94" s="1055"/>
      <c r="T94" s="83">
        <f>O90</f>
        <v>155799.41685611568</v>
      </c>
    </row>
    <row r="95" spans="1:28" ht="13.5" thickBot="1">
      <c r="R95" s="1052" t="s">
        <v>97</v>
      </c>
      <c r="S95" s="1052"/>
      <c r="T95" s="148">
        <f>P90</f>
        <v>138140.02717315033</v>
      </c>
    </row>
    <row r="96" spans="1:28" ht="13.5" thickBot="1">
      <c r="J96" s="141" t="s">
        <v>111</v>
      </c>
      <c r="K96" s="130"/>
      <c r="L96" s="172" t="e">
        <f t="shared" ref="L96:R96" si="25">L90/L89</f>
        <v>#DIV/0!</v>
      </c>
      <c r="M96" s="172" t="e">
        <f t="shared" si="25"/>
        <v>#DIV/0!</v>
      </c>
      <c r="N96" s="172">
        <f>N90/N89</f>
        <v>3.9900795583232854E-2</v>
      </c>
      <c r="O96" s="172">
        <f t="shared" si="25"/>
        <v>2.1757591138650702E-2</v>
      </c>
      <c r="P96" s="172">
        <f t="shared" si="25"/>
        <v>3.9832625604586731E-2</v>
      </c>
      <c r="Q96" s="172" t="e">
        <f t="shared" si="25"/>
        <v>#DIV/0!</v>
      </c>
      <c r="R96" s="172">
        <f t="shared" si="25"/>
        <v>1</v>
      </c>
      <c r="S96" s="236" t="e">
        <f>S90/S89</f>
        <v>#DIV/0!</v>
      </c>
      <c r="T96" s="172">
        <f>T90/T89</f>
        <v>3.7466342835523636E-2</v>
      </c>
    </row>
    <row r="97" spans="1:22" ht="13.9" customHeight="1">
      <c r="A97" s="1" t="s">
        <v>67</v>
      </c>
    </row>
    <row r="98" spans="1:22">
      <c r="A98" s="1" t="s">
        <v>68</v>
      </c>
    </row>
    <row r="99" spans="1:22">
      <c r="A99" s="7" t="s">
        <v>126</v>
      </c>
    </row>
    <row r="100" spans="1:22">
      <c r="A100" s="7" t="s">
        <v>69</v>
      </c>
    </row>
    <row r="101" spans="1:22">
      <c r="A101" s="1"/>
    </row>
    <row r="102" spans="1:22">
      <c r="A102" s="1" t="s">
        <v>70</v>
      </c>
    </row>
    <row r="103" spans="1:22">
      <c r="A103" s="7" t="s">
        <v>71</v>
      </c>
    </row>
    <row r="104" spans="1:22">
      <c r="A104" s="7" t="s">
        <v>72</v>
      </c>
    </row>
    <row r="105" spans="1:22">
      <c r="N105"/>
      <c r="O105"/>
      <c r="P105"/>
      <c r="Q105"/>
      <c r="R105"/>
      <c r="S105"/>
      <c r="T105" s="103"/>
      <c r="U105" s="104"/>
      <c r="V105" s="105"/>
    </row>
    <row r="106" spans="1:22">
      <c r="A106" s="1" t="s">
        <v>130</v>
      </c>
      <c r="N106"/>
      <c r="O106"/>
      <c r="P106"/>
      <c r="Q106"/>
      <c r="R106"/>
      <c r="S106"/>
      <c r="T106" s="103"/>
      <c r="U106" s="104"/>
      <c r="V106" s="105"/>
    </row>
    <row r="107" spans="1:22">
      <c r="A107" s="7" t="s">
        <v>131</v>
      </c>
      <c r="N107"/>
      <c r="O107"/>
      <c r="P107"/>
      <c r="Q107"/>
      <c r="R107"/>
      <c r="S107"/>
      <c r="T107" s="103"/>
      <c r="U107" s="104"/>
      <c r="V107" s="105"/>
    </row>
    <row r="108" spans="1:22">
      <c r="A108" s="7" t="s">
        <v>132</v>
      </c>
      <c r="N108"/>
      <c r="O108"/>
      <c r="P108"/>
      <c r="Q108"/>
      <c r="R108"/>
      <c r="S108"/>
      <c r="T108" s="103"/>
      <c r="U108" s="104"/>
      <c r="V108" s="105"/>
    </row>
    <row r="109" spans="1:22">
      <c r="N109"/>
      <c r="O109"/>
      <c r="P109"/>
      <c r="Q109"/>
      <c r="R109"/>
      <c r="S109"/>
      <c r="T109" s="103"/>
      <c r="U109" s="104"/>
      <c r="V109" s="105"/>
    </row>
    <row r="110" spans="1:22">
      <c r="A110" s="1" t="s">
        <v>133</v>
      </c>
      <c r="N110"/>
      <c r="O110"/>
      <c r="P110"/>
      <c r="Q110"/>
      <c r="R110"/>
      <c r="S110"/>
      <c r="T110" s="103"/>
      <c r="U110" s="104"/>
      <c r="V110" s="105"/>
    </row>
    <row r="111" spans="1:22">
      <c r="A111" s="7" t="s">
        <v>73</v>
      </c>
      <c r="D111" s="7" t="s">
        <v>74</v>
      </c>
      <c r="H111" s="7" t="s">
        <v>123</v>
      </c>
      <c r="N111"/>
      <c r="O111"/>
      <c r="P111"/>
      <c r="Q111"/>
      <c r="R111"/>
      <c r="S111"/>
      <c r="T111" s="103"/>
      <c r="U111" s="104"/>
      <c r="V111" s="105"/>
    </row>
    <row r="112" spans="1:22">
      <c r="D112" s="7" t="s">
        <v>75</v>
      </c>
      <c r="H112" s="7" t="s">
        <v>121</v>
      </c>
      <c r="N112" s="1"/>
      <c r="O112" s="106"/>
      <c r="P112" s="106"/>
      <c r="Q112" s="106"/>
      <c r="R112" s="106"/>
      <c r="S112" s="106"/>
      <c r="T112" s="2"/>
      <c r="U112" s="4"/>
      <c r="V112" s="5"/>
    </row>
    <row r="113" spans="1:22">
      <c r="D113" s="7" t="s">
        <v>76</v>
      </c>
      <c r="H113" s="7" t="s">
        <v>123</v>
      </c>
      <c r="N113"/>
      <c r="O113"/>
      <c r="P113"/>
      <c r="Q113"/>
      <c r="R113"/>
      <c r="S113"/>
      <c r="T113" s="103"/>
      <c r="U113" s="104"/>
      <c r="V113" s="105"/>
    </row>
    <row r="114" spans="1:22">
      <c r="D114" s="7" t="s">
        <v>119</v>
      </c>
      <c r="H114" s="7" t="s">
        <v>122</v>
      </c>
      <c r="N114"/>
      <c r="O114"/>
      <c r="P114"/>
      <c r="Q114"/>
      <c r="R114"/>
      <c r="S114"/>
      <c r="T114" s="103"/>
      <c r="U114" s="104"/>
      <c r="V114" s="105"/>
    </row>
    <row r="115" spans="1:22">
      <c r="D115" s="7" t="s">
        <v>77</v>
      </c>
      <c r="H115" s="7" t="s">
        <v>123</v>
      </c>
      <c r="N115"/>
      <c r="O115"/>
      <c r="P115"/>
      <c r="Q115"/>
      <c r="R115"/>
      <c r="S115"/>
      <c r="T115" s="103"/>
      <c r="U115" s="104"/>
      <c r="V115" s="105"/>
    </row>
    <row r="116" spans="1:22">
      <c r="D116" s="7" t="s">
        <v>78</v>
      </c>
      <c r="H116" s="7" t="s">
        <v>143</v>
      </c>
      <c r="N116"/>
      <c r="O116"/>
      <c r="P116"/>
      <c r="Q116"/>
      <c r="R116"/>
      <c r="S116"/>
      <c r="T116" s="103"/>
      <c r="U116" s="104"/>
      <c r="V116" s="105"/>
    </row>
    <row r="117" spans="1:22">
      <c r="D117" s="7" t="s">
        <v>80</v>
      </c>
      <c r="H117" s="7" t="s">
        <v>142</v>
      </c>
      <c r="N117"/>
      <c r="O117"/>
      <c r="P117"/>
      <c r="Q117"/>
      <c r="R117"/>
      <c r="S117"/>
      <c r="T117" s="103"/>
      <c r="U117" s="104"/>
      <c r="V117" s="105"/>
    </row>
    <row r="118" spans="1:22">
      <c r="A118" s="7" t="s">
        <v>136</v>
      </c>
      <c r="N118"/>
      <c r="O118"/>
      <c r="P118"/>
      <c r="Q118"/>
      <c r="R118"/>
      <c r="S118"/>
      <c r="T118" s="103"/>
      <c r="U118" s="104"/>
      <c r="V118" s="105"/>
    </row>
    <row r="119" spans="1:22">
      <c r="N119"/>
      <c r="O119"/>
      <c r="P119"/>
      <c r="Q119"/>
      <c r="R119"/>
      <c r="S119"/>
      <c r="T119" s="103"/>
      <c r="U119" s="104"/>
      <c r="V119" s="105"/>
    </row>
    <row r="120" spans="1:22">
      <c r="N120"/>
      <c r="O120"/>
      <c r="P120"/>
      <c r="Q120"/>
      <c r="R120"/>
      <c r="S120"/>
      <c r="T120" s="103"/>
      <c r="U120" s="104"/>
      <c r="V120" s="105"/>
    </row>
    <row r="121" spans="1:22">
      <c r="N121"/>
      <c r="O121"/>
      <c r="P121"/>
      <c r="Q121"/>
      <c r="R121"/>
      <c r="S121"/>
      <c r="T121" s="103"/>
      <c r="U121" s="104"/>
      <c r="V121" s="105"/>
    </row>
    <row r="123" spans="1:22">
      <c r="A123" s="7" t="s">
        <v>79</v>
      </c>
    </row>
  </sheetData>
  <mergeCells count="11">
    <mergeCell ref="T33:T34"/>
    <mergeCell ref="N4:P4"/>
    <mergeCell ref="L4:M4"/>
    <mergeCell ref="R95:S95"/>
    <mergeCell ref="N55:S55"/>
    <mergeCell ref="R94:S94"/>
    <mergeCell ref="A89:B89"/>
    <mergeCell ref="N54:S54"/>
    <mergeCell ref="S4:S5"/>
    <mergeCell ref="R4:R5"/>
    <mergeCell ref="R93:S93"/>
  </mergeCells>
  <phoneticPr fontId="13" type="noConversion"/>
  <printOptions horizontalCentered="1"/>
  <pageMargins left="0" right="0" top="0" bottom="0" header="0.15748031496062992" footer="0.15748031496062992"/>
  <pageSetup paperSize="9" scale="75" fitToHeight="2" orientation="landscape" r:id="rId1"/>
  <headerFooter alignWithMargins="0"/>
  <rowBreaks count="1" manualBreakCount="1">
    <brk id="65" max="1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4"/>
  <sheetViews>
    <sheetView showGridLines="0" zoomScale="85" zoomScaleNormal="85" workbookViewId="0">
      <pane xSplit="9" ySplit="15" topLeftCell="L16" activePane="bottomRight" state="frozen"/>
      <selection activeCell="A88" sqref="A88"/>
      <selection pane="topRight" activeCell="A88" sqref="A88"/>
      <selection pane="bottomLeft" activeCell="A88" sqref="A88"/>
      <selection pane="bottomRight" activeCell="A11" sqref="A11"/>
    </sheetView>
  </sheetViews>
  <sheetFormatPr defaultRowHeight="12.75"/>
  <cols>
    <col min="1" max="1" width="13.5703125" customWidth="1"/>
    <col min="2" max="2" width="11.7109375" style="107" customWidth="1"/>
    <col min="3" max="11" width="11.7109375" customWidth="1"/>
    <col min="12" max="25" width="13.5703125" style="192" customWidth="1"/>
    <col min="26" max="30" width="14.140625" style="192" customWidth="1"/>
    <col min="31" max="31" width="4.7109375" style="192" bestFit="1" customWidth="1"/>
    <col min="32" max="32" width="7.42578125" style="192" customWidth="1"/>
    <col min="33" max="33" width="6.7109375" style="192" bestFit="1" customWidth="1"/>
    <col min="34" max="34" width="5.140625" style="192" customWidth="1"/>
    <col min="35" max="35" width="4.7109375" style="192" bestFit="1" customWidth="1"/>
    <col min="36" max="36" width="5.140625" style="192" bestFit="1" customWidth="1"/>
    <col min="37" max="37" width="7.28515625" style="192" bestFit="1" customWidth="1"/>
    <col min="38" max="38" width="4.140625" style="192" bestFit="1" customWidth="1"/>
    <col min="39" max="39" width="7.28515625" style="192" customWidth="1"/>
    <col min="40" max="40" width="6.28515625" style="192" bestFit="1" customWidth="1"/>
    <col min="41" max="41" width="4.85546875" style="192" bestFit="1" customWidth="1"/>
    <col min="42" max="42" width="8.5703125" style="192" bestFit="1" customWidth="1"/>
    <col min="43" max="47" width="9.140625" style="192"/>
    <col min="48" max="48" width="9.7109375" style="192" customWidth="1"/>
    <col min="49" max="16384" width="9.140625" style="192"/>
  </cols>
  <sheetData>
    <row r="1" spans="1:21" s="219" customFormat="1" ht="20.25">
      <c r="A1" s="1060" t="s">
        <v>127</v>
      </c>
      <c r="B1" s="1061"/>
      <c r="C1" s="221"/>
      <c r="D1" s="222"/>
      <c r="E1" s="220"/>
      <c r="F1" s="220"/>
      <c r="Q1" s="1059" t="s">
        <v>196</v>
      </c>
      <c r="R1" s="1059"/>
      <c r="S1" s="1059"/>
    </row>
    <row r="2" spans="1:21" ht="13.15" customHeight="1">
      <c r="A2" s="229" t="s">
        <v>1</v>
      </c>
      <c r="B2" s="230" t="s">
        <v>192</v>
      </c>
      <c r="C2" s="230" t="s">
        <v>193</v>
      </c>
      <c r="D2" s="230" t="s">
        <v>194</v>
      </c>
      <c r="E2" s="229" t="s">
        <v>129</v>
      </c>
      <c r="F2" s="229" t="s">
        <v>58</v>
      </c>
      <c r="G2" s="229" t="s">
        <v>7</v>
      </c>
      <c r="P2" s="229" t="s">
        <v>58</v>
      </c>
      <c r="Q2" s="232" t="s">
        <v>10</v>
      </c>
      <c r="R2" s="232" t="s">
        <v>11</v>
      </c>
      <c r="S2" s="232" t="s">
        <v>195</v>
      </c>
      <c r="T2" s="188" t="s">
        <v>197</v>
      </c>
      <c r="U2" s="290" t="s">
        <v>297</v>
      </c>
    </row>
    <row r="3" spans="1:21" ht="15">
      <c r="A3" s="231">
        <v>42005</v>
      </c>
      <c r="B3" s="195">
        <v>5280</v>
      </c>
      <c r="C3" s="108">
        <v>9338.7199999999993</v>
      </c>
      <c r="D3" s="108">
        <v>25341.14</v>
      </c>
      <c r="E3" s="223">
        <v>5649</v>
      </c>
      <c r="F3" s="288">
        <f t="shared" ref="F3:F8" si="0">+P3</f>
        <v>5214</v>
      </c>
      <c r="G3" s="227">
        <f t="shared" ref="G3:G15" si="1">SUM(B3:F3)</f>
        <v>50822.86</v>
      </c>
      <c r="P3" s="249">
        <f>1694+3520</f>
        <v>5214</v>
      </c>
      <c r="Q3" s="233">
        <v>3233</v>
      </c>
      <c r="R3" s="233">
        <v>4104</v>
      </c>
      <c r="S3" s="233">
        <v>3154</v>
      </c>
      <c r="T3" s="292">
        <f>SUM(P3:S3)</f>
        <v>15705</v>
      </c>
      <c r="U3" s="291">
        <f>+B3+C3+D3+E3+T3</f>
        <v>61313.86</v>
      </c>
    </row>
    <row r="4" spans="1:21" ht="15">
      <c r="A4" s="231">
        <v>42036</v>
      </c>
      <c r="B4" s="195">
        <v>5105.67</v>
      </c>
      <c r="C4" s="108">
        <v>16277.09</v>
      </c>
      <c r="D4" s="108">
        <v>27736.63</v>
      </c>
      <c r="E4" s="223">
        <v>9758.73</v>
      </c>
      <c r="F4" s="288">
        <f t="shared" si="0"/>
        <v>6648</v>
      </c>
      <c r="G4" s="227">
        <f t="shared" si="1"/>
        <v>65526.119999999995</v>
      </c>
      <c r="P4" s="223">
        <f>1148+5500</f>
        <v>6648</v>
      </c>
      <c r="Q4" s="233">
        <v>3230</v>
      </c>
      <c r="R4" s="233">
        <v>3984</v>
      </c>
      <c r="S4" s="233">
        <v>3243</v>
      </c>
      <c r="T4" s="292">
        <f t="shared" ref="T4:T15" si="2">SUM(P4:S4)</f>
        <v>17105</v>
      </c>
      <c r="U4" s="291">
        <f t="shared" ref="U4:U15" si="3">+B4+C4+D4+E4+T4</f>
        <v>75983.12</v>
      </c>
    </row>
    <row r="5" spans="1:21" ht="15">
      <c r="A5" s="231">
        <v>42064</v>
      </c>
      <c r="B5" s="195">
        <v>4453.0200000000004</v>
      </c>
      <c r="C5" s="108">
        <v>5537.63</v>
      </c>
      <c r="D5" s="108">
        <v>31498.31</v>
      </c>
      <c r="E5" s="223">
        <v>9683.43</v>
      </c>
      <c r="F5" s="288">
        <f t="shared" si="0"/>
        <v>1421</v>
      </c>
      <c r="G5" s="227">
        <f t="shared" si="1"/>
        <v>52593.390000000007</v>
      </c>
      <c r="P5" s="223">
        <v>1421</v>
      </c>
      <c r="Q5" s="233">
        <v>2918</v>
      </c>
      <c r="R5" s="233">
        <v>4044</v>
      </c>
      <c r="S5" s="233">
        <v>3077</v>
      </c>
      <c r="T5" s="292">
        <f t="shared" si="2"/>
        <v>11460</v>
      </c>
      <c r="U5" s="291">
        <f t="shared" si="3"/>
        <v>62632.390000000007</v>
      </c>
    </row>
    <row r="6" spans="1:21" ht="15">
      <c r="A6" s="231">
        <v>42095</v>
      </c>
      <c r="B6" s="195">
        <v>4752.9399999999996</v>
      </c>
      <c r="C6" s="108">
        <v>5544.02</v>
      </c>
      <c r="D6" s="108">
        <v>26886.13</v>
      </c>
      <c r="E6" s="223">
        <v>6628.38</v>
      </c>
      <c r="F6" s="288">
        <f t="shared" si="0"/>
        <v>2424</v>
      </c>
      <c r="G6" s="227">
        <f t="shared" si="1"/>
        <v>46235.469999999994</v>
      </c>
      <c r="P6" s="223">
        <f>1014+10+1400</f>
        <v>2424</v>
      </c>
      <c r="Q6" s="233">
        <v>2836</v>
      </c>
      <c r="R6" s="233">
        <v>3895</v>
      </c>
      <c r="S6" s="233">
        <v>3053</v>
      </c>
      <c r="T6" s="292">
        <f t="shared" si="2"/>
        <v>12208</v>
      </c>
      <c r="U6" s="291">
        <f t="shared" si="3"/>
        <v>56019.469999999994</v>
      </c>
    </row>
    <row r="7" spans="1:21" ht="15">
      <c r="A7" s="231">
        <v>42125</v>
      </c>
      <c r="B7" s="195">
        <v>4428.8599999999997</v>
      </c>
      <c r="C7" s="108">
        <v>6468.8</v>
      </c>
      <c r="D7" s="108">
        <v>30496.36</v>
      </c>
      <c r="E7" s="223">
        <v>6793.57</v>
      </c>
      <c r="F7" s="288">
        <f t="shared" si="0"/>
        <v>2744</v>
      </c>
      <c r="G7" s="227">
        <f t="shared" si="1"/>
        <v>50931.590000000004</v>
      </c>
      <c r="P7" s="223">
        <f>1589+10+45+1100</f>
        <v>2744</v>
      </c>
      <c r="Q7" s="233">
        <v>2770</v>
      </c>
      <c r="R7" s="233">
        <v>4038</v>
      </c>
      <c r="S7" s="233">
        <v>3077</v>
      </c>
      <c r="T7" s="292">
        <f t="shared" si="2"/>
        <v>12629</v>
      </c>
      <c r="U7" s="291">
        <f t="shared" si="3"/>
        <v>60816.590000000004</v>
      </c>
    </row>
    <row r="8" spans="1:21" ht="15">
      <c r="A8" s="231">
        <v>42156</v>
      </c>
      <c r="B8" s="195">
        <f>4399.23</f>
        <v>4399.2299999999996</v>
      </c>
      <c r="C8" s="108">
        <f>12572.01</f>
        <v>12572.01</v>
      </c>
      <c r="D8" s="108">
        <f>37059.84</f>
        <v>37059.839999999997</v>
      </c>
      <c r="E8" s="249">
        <f>10767.36</f>
        <v>10767.36</v>
      </c>
      <c r="F8" s="288">
        <f t="shared" si="0"/>
        <v>2525</v>
      </c>
      <c r="G8" s="227">
        <f>SUM(B8:F8)</f>
        <v>67323.44</v>
      </c>
      <c r="P8" s="249">
        <f>1835+35+30+625</f>
        <v>2525</v>
      </c>
      <c r="Q8" s="233">
        <f>2792</f>
        <v>2792</v>
      </c>
      <c r="R8" s="233">
        <f>4193</f>
        <v>4193</v>
      </c>
      <c r="S8" s="233">
        <f>2965</f>
        <v>2965</v>
      </c>
      <c r="T8" s="292">
        <f t="shared" si="2"/>
        <v>12475</v>
      </c>
      <c r="U8" s="291">
        <f t="shared" si="3"/>
        <v>77273.440000000002</v>
      </c>
    </row>
    <row r="9" spans="1:21" ht="15">
      <c r="A9" s="231">
        <v>42186</v>
      </c>
      <c r="B9" s="779">
        <f>4085.7</f>
        <v>4085.7</v>
      </c>
      <c r="C9" s="108">
        <f>5640.08</f>
        <v>5640.08</v>
      </c>
      <c r="D9" s="108">
        <f>30565.85</f>
        <v>30565.85</v>
      </c>
      <c r="E9" s="249">
        <f>8924.12</f>
        <v>8924.1200000000008</v>
      </c>
      <c r="F9" s="288">
        <f>+P9</f>
        <v>3481</v>
      </c>
      <c r="G9" s="227">
        <f>SUM(B9:F9)</f>
        <v>52696.75</v>
      </c>
      <c r="P9" s="829">
        <f>1532+20+30+1899</f>
        <v>3481</v>
      </c>
      <c r="Q9" s="233">
        <f>2818</f>
        <v>2818</v>
      </c>
      <c r="R9" s="233">
        <f>4480</f>
        <v>4480</v>
      </c>
      <c r="S9" s="233">
        <f>2895</f>
        <v>2895</v>
      </c>
      <c r="T9" s="292">
        <f t="shared" si="2"/>
        <v>13674</v>
      </c>
      <c r="U9" s="291">
        <f t="shared" si="3"/>
        <v>62889.75</v>
      </c>
    </row>
    <row r="10" spans="1:21" ht="15">
      <c r="A10" s="231">
        <v>42217</v>
      </c>
      <c r="B10" s="779">
        <f>4043.76</f>
        <v>4043.76</v>
      </c>
      <c r="C10" s="249">
        <f>9350.38</f>
        <v>9350.3799999999992</v>
      </c>
      <c r="D10" s="249">
        <f>27434.19</f>
        <v>27434.19</v>
      </c>
      <c r="E10" s="249">
        <f>1407.23+7376.57</f>
        <v>8783.7999999999993</v>
      </c>
      <c r="F10" s="288">
        <f>+P10</f>
        <v>1942</v>
      </c>
      <c r="G10" s="227">
        <f t="shared" si="1"/>
        <v>51554.130000000005</v>
      </c>
      <c r="P10" s="952">
        <f>1942</f>
        <v>1942</v>
      </c>
      <c r="Q10" s="233">
        <f>2809</f>
        <v>2809</v>
      </c>
      <c r="R10" s="233">
        <f>4141</f>
        <v>4141</v>
      </c>
      <c r="S10" s="233">
        <f>2832</f>
        <v>2832</v>
      </c>
      <c r="T10" s="292">
        <f t="shared" si="2"/>
        <v>11724</v>
      </c>
      <c r="U10" s="291">
        <f t="shared" si="3"/>
        <v>61336.130000000005</v>
      </c>
    </row>
    <row r="11" spans="1:21" ht="15">
      <c r="A11" s="231">
        <v>42248</v>
      </c>
      <c r="B11" s="779">
        <f>3865.5</f>
        <v>3865.5</v>
      </c>
      <c r="C11" s="249">
        <f>14040.9</f>
        <v>14040.9</v>
      </c>
      <c r="D11" s="249">
        <f>29326.33</f>
        <v>29326.33</v>
      </c>
      <c r="E11" s="249">
        <f>6901.29</f>
        <v>6901.29</v>
      </c>
      <c r="F11" s="288">
        <f>+P11</f>
        <v>1400</v>
      </c>
      <c r="G11" s="227">
        <f>SUM(B11:F11)</f>
        <v>55534.020000000004</v>
      </c>
      <c r="P11" s="952">
        <f>1400</f>
        <v>1400</v>
      </c>
      <c r="Q11" s="233">
        <f>2810</f>
        <v>2810</v>
      </c>
      <c r="R11" s="233">
        <f>4151</f>
        <v>4151</v>
      </c>
      <c r="S11" s="233">
        <f>2906</f>
        <v>2906</v>
      </c>
      <c r="T11" s="292">
        <f t="shared" si="2"/>
        <v>11267</v>
      </c>
      <c r="U11" s="291">
        <f t="shared" si="3"/>
        <v>65401.020000000004</v>
      </c>
    </row>
    <row r="12" spans="1:21" ht="15">
      <c r="A12" s="231">
        <v>42278</v>
      </c>
      <c r="B12" s="195"/>
      <c r="C12" s="108"/>
      <c r="D12" s="108"/>
      <c r="E12" s="109"/>
      <c r="F12" s="289"/>
      <c r="G12" s="227">
        <f t="shared" si="1"/>
        <v>0</v>
      </c>
      <c r="P12" s="109"/>
      <c r="Q12" s="233"/>
      <c r="R12" s="233"/>
      <c r="S12" s="233"/>
      <c r="T12" s="292">
        <f t="shared" si="2"/>
        <v>0</v>
      </c>
      <c r="U12" s="291">
        <f t="shared" si="3"/>
        <v>0</v>
      </c>
    </row>
    <row r="13" spans="1:21" ht="15">
      <c r="A13" s="231">
        <v>42309</v>
      </c>
      <c r="B13" s="195"/>
      <c r="C13" s="108"/>
      <c r="D13" s="108"/>
      <c r="E13" s="109"/>
      <c r="F13" s="289"/>
      <c r="G13" s="227">
        <f t="shared" si="1"/>
        <v>0</v>
      </c>
      <c r="P13" s="109"/>
      <c r="Q13" s="233"/>
      <c r="R13" s="233"/>
      <c r="S13" s="233"/>
      <c r="T13" s="292">
        <f t="shared" si="2"/>
        <v>0</v>
      </c>
      <c r="U13" s="291">
        <f t="shared" si="3"/>
        <v>0</v>
      </c>
    </row>
    <row r="14" spans="1:21" ht="15">
      <c r="A14" s="231">
        <v>42339</v>
      </c>
      <c r="B14" s="195"/>
      <c r="C14" s="108"/>
      <c r="D14" s="108"/>
      <c r="E14" s="109"/>
      <c r="F14" s="289"/>
      <c r="G14" s="227">
        <f t="shared" si="1"/>
        <v>0</v>
      </c>
      <c r="P14" s="109"/>
      <c r="Q14" s="233"/>
      <c r="R14" s="233"/>
      <c r="S14" s="233"/>
      <c r="T14" s="292">
        <f t="shared" si="2"/>
        <v>0</v>
      </c>
      <c r="U14" s="291">
        <f t="shared" si="3"/>
        <v>0</v>
      </c>
    </row>
    <row r="15" spans="1:21" ht="15">
      <c r="A15" s="224"/>
      <c r="B15" s="109">
        <f>SUM(B3:B14)</f>
        <v>40414.68</v>
      </c>
      <c r="C15" s="109">
        <f>SUM(C3:C14)</f>
        <v>84769.63</v>
      </c>
      <c r="D15" s="109">
        <f>SUM(D3:D14)</f>
        <v>266344.78000000003</v>
      </c>
      <c r="E15" s="109">
        <f>SUM(E3:E14)</f>
        <v>73889.679999999993</v>
      </c>
      <c r="F15" s="289">
        <f>SUM(F3:F14)</f>
        <v>27799</v>
      </c>
      <c r="G15" s="227">
        <f t="shared" si="1"/>
        <v>493217.77</v>
      </c>
      <c r="P15" s="109">
        <f>SUM(P3:P14)</f>
        <v>27799</v>
      </c>
      <c r="Q15" s="234">
        <f>SUM(Q3:Q14)</f>
        <v>26216</v>
      </c>
      <c r="R15" s="234">
        <f>SUM(R3:R14)</f>
        <v>37030</v>
      </c>
      <c r="S15" s="234">
        <f>SUM(S3:S14)</f>
        <v>27202</v>
      </c>
      <c r="T15" s="292">
        <f t="shared" si="2"/>
        <v>118247</v>
      </c>
      <c r="U15" s="291">
        <f t="shared" si="3"/>
        <v>583665.77</v>
      </c>
    </row>
    <row r="16" spans="1:21">
      <c r="A16" s="110"/>
      <c r="B16" s="111"/>
      <c r="C16" s="1"/>
      <c r="D16" s="1"/>
      <c r="E16" s="1"/>
      <c r="F16" s="1"/>
      <c r="G16" s="1"/>
      <c r="H16" s="1"/>
    </row>
    <row r="17" spans="1:27">
      <c r="A17" s="110"/>
      <c r="B17" s="111"/>
      <c r="C17" s="1"/>
      <c r="D17" s="1"/>
      <c r="E17" s="1"/>
      <c r="F17" s="1"/>
      <c r="G17" s="1"/>
      <c r="H17" s="1"/>
      <c r="I17" s="1"/>
      <c r="J17" s="1"/>
    </row>
    <row r="18" spans="1:27">
      <c r="A18" s="112" t="s">
        <v>90</v>
      </c>
      <c r="B18"/>
    </row>
    <row r="19" spans="1:27" s="225" customFormat="1">
      <c r="A19" s="1062" t="s">
        <v>138</v>
      </c>
      <c r="B19" s="1057" t="s">
        <v>91</v>
      </c>
      <c r="C19" s="1058"/>
      <c r="D19" s="1056" t="s">
        <v>92</v>
      </c>
      <c r="E19" s="1056"/>
      <c r="F19" s="1056" t="s">
        <v>11</v>
      </c>
      <c r="G19" s="1056"/>
      <c r="H19" s="1056" t="s">
        <v>81</v>
      </c>
      <c r="I19" s="1056"/>
      <c r="J19" s="1056" t="s">
        <v>93</v>
      </c>
      <c r="K19" s="1056"/>
    </row>
    <row r="20" spans="1:27" s="225" customFormat="1">
      <c r="A20" s="1056"/>
      <c r="B20" s="228" t="s">
        <v>94</v>
      </c>
      <c r="C20" s="228" t="s">
        <v>82</v>
      </c>
      <c r="D20" s="228" t="s">
        <v>94</v>
      </c>
      <c r="E20" s="228" t="s">
        <v>82</v>
      </c>
      <c r="F20" s="228" t="s">
        <v>94</v>
      </c>
      <c r="G20" s="228" t="s">
        <v>82</v>
      </c>
      <c r="H20" s="228" t="s">
        <v>94</v>
      </c>
      <c r="I20" s="228" t="s">
        <v>82</v>
      </c>
      <c r="J20" s="228" t="s">
        <v>94</v>
      </c>
      <c r="K20" s="228" t="s">
        <v>82</v>
      </c>
      <c r="AA20" s="226"/>
    </row>
    <row r="21" spans="1:27" ht="15">
      <c r="A21" s="260" t="s">
        <v>98</v>
      </c>
      <c r="B21" s="253">
        <v>0</v>
      </c>
      <c r="C21" s="253">
        <f>$G3/J21*B21</f>
        <v>0</v>
      </c>
      <c r="D21" s="263">
        <f>+ปันส่วน!D4</f>
        <v>253</v>
      </c>
      <c r="E21" s="253">
        <f t="shared" ref="E21:E26" si="4">$G3/J21*D21</f>
        <v>24822.748223938223</v>
      </c>
      <c r="F21" s="263">
        <f>+ปันส่วน!E4</f>
        <v>253</v>
      </c>
      <c r="G21" s="253">
        <f t="shared" ref="G21:G26" si="5">$G3/J21*F21</f>
        <v>24822.748223938223</v>
      </c>
      <c r="H21" s="263">
        <f>+ปันส่วน!F4</f>
        <v>12</v>
      </c>
      <c r="I21" s="253">
        <f t="shared" ref="I21:I26" si="6">$G3/J21*H21</f>
        <v>1177.3635521235522</v>
      </c>
      <c r="J21" s="266">
        <f>SUM(B21,D21,F21,H21)</f>
        <v>518</v>
      </c>
      <c r="K21" s="256">
        <f>SUM(C21,E21,G21,I21)</f>
        <v>50822.86</v>
      </c>
    </row>
    <row r="22" spans="1:27" ht="15">
      <c r="A22" s="261" t="s">
        <v>99</v>
      </c>
      <c r="B22" s="254"/>
      <c r="C22" s="254"/>
      <c r="D22" s="264">
        <f>+ปันส่วน!D5</f>
        <v>235</v>
      </c>
      <c r="E22" s="254">
        <f t="shared" si="4"/>
        <v>31490.057668711652</v>
      </c>
      <c r="F22" s="264">
        <f>+ปันส่วน!E5</f>
        <v>248</v>
      </c>
      <c r="G22" s="254">
        <f t="shared" si="5"/>
        <v>33232.060858895704</v>
      </c>
      <c r="H22" s="264">
        <f>+ปันส่วน!F5</f>
        <v>6</v>
      </c>
      <c r="I22" s="254">
        <f t="shared" si="6"/>
        <v>804.00147239263788</v>
      </c>
      <c r="J22" s="267">
        <f t="shared" ref="J22:J27" si="7">+D22+F22+H22</f>
        <v>489</v>
      </c>
      <c r="K22" s="257">
        <f t="shared" ref="K22:K27" si="8">SUM(C22,E22,G22,I22)</f>
        <v>65526.119999999988</v>
      </c>
    </row>
    <row r="23" spans="1:27" ht="15">
      <c r="A23" s="260" t="s">
        <v>100</v>
      </c>
      <c r="B23" s="253"/>
      <c r="C23" s="253"/>
      <c r="D23" s="263">
        <f>+ปันส่วน!D6</f>
        <v>215</v>
      </c>
      <c r="E23" s="253">
        <f t="shared" si="4"/>
        <v>24422.416522678188</v>
      </c>
      <c r="F23" s="263">
        <f>+ปันส่วน!E6</f>
        <v>242</v>
      </c>
      <c r="G23" s="253">
        <f t="shared" si="5"/>
        <v>27489.417667386613</v>
      </c>
      <c r="H23" s="263">
        <f>+ปันส่วน!F6</f>
        <v>6</v>
      </c>
      <c r="I23" s="253">
        <f t="shared" si="6"/>
        <v>681.55580993520527</v>
      </c>
      <c r="J23" s="266">
        <f t="shared" si="7"/>
        <v>463</v>
      </c>
      <c r="K23" s="256">
        <f t="shared" si="8"/>
        <v>52593.390000000007</v>
      </c>
    </row>
    <row r="24" spans="1:27" ht="15">
      <c r="A24" s="261" t="s">
        <v>101</v>
      </c>
      <c r="B24" s="254"/>
      <c r="C24" s="254"/>
      <c r="D24" s="264">
        <f>+ปันส่วน!D7</f>
        <v>220</v>
      </c>
      <c r="E24" s="254">
        <f t="shared" si="4"/>
        <v>22755.712304250555</v>
      </c>
      <c r="F24" s="264">
        <f>+ปันส่วน!E7</f>
        <v>221</v>
      </c>
      <c r="G24" s="254">
        <f t="shared" si="5"/>
        <v>22859.147360178966</v>
      </c>
      <c r="H24" s="264">
        <f>+ปันส่วน!F7</f>
        <v>6</v>
      </c>
      <c r="I24" s="254">
        <f t="shared" si="6"/>
        <v>620.61033557046972</v>
      </c>
      <c r="J24" s="267">
        <f t="shared" si="7"/>
        <v>447</v>
      </c>
      <c r="K24" s="257">
        <f t="shared" si="8"/>
        <v>46235.469999999987</v>
      </c>
    </row>
    <row r="25" spans="1:27" ht="15">
      <c r="A25" s="260" t="s">
        <v>102</v>
      </c>
      <c r="B25" s="253"/>
      <c r="C25" s="253"/>
      <c r="D25" s="263">
        <f>+ปันส่วน!D8</f>
        <v>230</v>
      </c>
      <c r="E25" s="253">
        <f t="shared" si="4"/>
        <v>24609.801890756302</v>
      </c>
      <c r="F25" s="263">
        <f>+ปันส่วน!E8</f>
        <v>240</v>
      </c>
      <c r="G25" s="253">
        <f t="shared" si="5"/>
        <v>25679.793277310924</v>
      </c>
      <c r="H25" s="263">
        <f>+ปันส่วน!F8</f>
        <v>6</v>
      </c>
      <c r="I25" s="253">
        <f t="shared" si="6"/>
        <v>641.9948319327732</v>
      </c>
      <c r="J25" s="266">
        <f t="shared" si="7"/>
        <v>476</v>
      </c>
      <c r="K25" s="256">
        <f t="shared" si="8"/>
        <v>50931.590000000004</v>
      </c>
    </row>
    <row r="26" spans="1:27" ht="15">
      <c r="A26" s="261" t="s">
        <v>83</v>
      </c>
      <c r="B26" s="254"/>
      <c r="C26" s="254"/>
      <c r="D26" s="746">
        <f>ปันส่วน!D9</f>
        <v>267</v>
      </c>
      <c r="E26" s="747">
        <f t="shared" si="4"/>
        <v>33536.116567164179</v>
      </c>
      <c r="F26" s="746">
        <f>ปันส่วน!E9</f>
        <v>263</v>
      </c>
      <c r="G26" s="747">
        <f t="shared" si="5"/>
        <v>33033.702835820899</v>
      </c>
      <c r="H26" s="746">
        <f>ปันส่วน!F9</f>
        <v>6</v>
      </c>
      <c r="I26" s="747">
        <f t="shared" si="6"/>
        <v>753.62059701492535</v>
      </c>
      <c r="J26" s="748">
        <f t="shared" si="7"/>
        <v>536</v>
      </c>
      <c r="K26" s="749">
        <f t="shared" si="8"/>
        <v>67323.44</v>
      </c>
    </row>
    <row r="27" spans="1:27" ht="15">
      <c r="A27" s="260" t="s">
        <v>84</v>
      </c>
      <c r="B27" s="253"/>
      <c r="C27" s="253"/>
      <c r="D27" s="763">
        <f>ปันส่วน!D10</f>
        <v>268</v>
      </c>
      <c r="E27" s="764">
        <f>$G9/J27*D27</f>
        <v>25129.411032028467</v>
      </c>
      <c r="F27" s="763">
        <f>ปันส่วน!E10</f>
        <v>288</v>
      </c>
      <c r="G27" s="764">
        <f>$G9/J27*F27</f>
        <v>27004.740213523131</v>
      </c>
      <c r="H27" s="763">
        <f>ปันส่วน!F10</f>
        <v>6</v>
      </c>
      <c r="I27" s="764">
        <f>$G9/J27*H27</f>
        <v>562.59875444839849</v>
      </c>
      <c r="J27" s="268">
        <f t="shared" si="7"/>
        <v>562</v>
      </c>
      <c r="K27" s="258">
        <f t="shared" si="8"/>
        <v>52696.75</v>
      </c>
    </row>
    <row r="28" spans="1:27" ht="15">
      <c r="A28" s="261" t="s">
        <v>85</v>
      </c>
      <c r="B28" s="254"/>
      <c r="C28" s="254"/>
      <c r="D28" s="853">
        <f>ปันส่วน!D11</f>
        <v>248</v>
      </c>
      <c r="E28" s="854">
        <f>$G10/J28*D28</f>
        <v>24874.366225680937</v>
      </c>
      <c r="F28" s="853">
        <f>ปันส่วน!E11</f>
        <v>262</v>
      </c>
      <c r="G28" s="854">
        <f t="shared" ref="G28" si="9">$G10/J28*F28</f>
        <v>26278.56431906615</v>
      </c>
      <c r="H28" s="853">
        <f>ปันส่วน!F11</f>
        <v>4</v>
      </c>
      <c r="I28" s="854">
        <f t="shared" ref="I28" si="10">$G10/J28*H28</f>
        <v>401.19945525291831</v>
      </c>
      <c r="J28" s="748">
        <f t="shared" ref="J28:J29" si="11">+D28+F28+H28</f>
        <v>514</v>
      </c>
      <c r="K28" s="749">
        <f t="shared" ref="K28:K29" si="12">SUM(C28,E28,G28,I28)</f>
        <v>51554.130000000005</v>
      </c>
    </row>
    <row r="29" spans="1:27" ht="15">
      <c r="A29" s="260" t="s">
        <v>86</v>
      </c>
      <c r="B29" s="253"/>
      <c r="C29" s="253"/>
      <c r="D29" s="763">
        <f>ปันส่วน!D12</f>
        <v>251</v>
      </c>
      <c r="E29" s="764">
        <f>$G11/J29*D29</f>
        <v>26754.39351247601</v>
      </c>
      <c r="F29" s="763">
        <f>ปันส่วน!E12</f>
        <v>266</v>
      </c>
      <c r="G29" s="764">
        <f>$G11/J29*F29</f>
        <v>28353.261650671786</v>
      </c>
      <c r="H29" s="763">
        <f>ปันส่วน!F12</f>
        <v>4</v>
      </c>
      <c r="I29" s="764">
        <f>$G11/J29*H29</f>
        <v>426.3648368522073</v>
      </c>
      <c r="J29" s="268">
        <f t="shared" si="11"/>
        <v>521</v>
      </c>
      <c r="K29" s="258">
        <f t="shared" si="12"/>
        <v>55534.02</v>
      </c>
    </row>
    <row r="30" spans="1:27" ht="15">
      <c r="A30" s="261" t="s">
        <v>87</v>
      </c>
      <c r="B30" s="254"/>
      <c r="C30" s="254"/>
      <c r="D30" s="264"/>
      <c r="E30" s="254"/>
      <c r="F30" s="264"/>
      <c r="G30" s="254"/>
      <c r="H30" s="264"/>
      <c r="I30" s="254"/>
      <c r="J30" s="267"/>
      <c r="K30" s="257"/>
    </row>
    <row r="31" spans="1:27" ht="15">
      <c r="A31" s="262" t="s">
        <v>88</v>
      </c>
      <c r="B31" s="253"/>
      <c r="C31" s="253"/>
      <c r="D31" s="263"/>
      <c r="E31" s="253"/>
      <c r="F31" s="263"/>
      <c r="G31" s="253"/>
      <c r="H31" s="263"/>
      <c r="I31" s="253"/>
      <c r="J31" s="266"/>
      <c r="K31" s="256"/>
    </row>
    <row r="32" spans="1:27" ht="15">
      <c r="A32" s="261" t="s">
        <v>89</v>
      </c>
      <c r="B32" s="254"/>
      <c r="C32" s="254"/>
      <c r="D32" s="264"/>
      <c r="E32" s="254"/>
      <c r="F32" s="264"/>
      <c r="G32" s="254"/>
      <c r="H32" s="264"/>
      <c r="I32" s="254"/>
      <c r="J32" s="267"/>
      <c r="K32" s="257"/>
    </row>
    <row r="33" spans="1:11" s="225" customFormat="1" ht="15">
      <c r="A33" s="255" t="s">
        <v>7</v>
      </c>
      <c r="B33" s="255">
        <f>SUM(B21:B32)</f>
        <v>0</v>
      </c>
      <c r="C33" s="255">
        <f>SUM(C21:C32)</f>
        <v>0</v>
      </c>
      <c r="D33" s="265"/>
      <c r="E33" s="255">
        <f>SUM(E21:E32)</f>
        <v>238395.0239476845</v>
      </c>
      <c r="F33" s="265"/>
      <c r="G33" s="255">
        <f>SUM(G21:G32)</f>
        <v>248753.43640679237</v>
      </c>
      <c r="H33" s="265"/>
      <c r="I33" s="255">
        <f>SUM(I21:I32)</f>
        <v>6069.3096455230889</v>
      </c>
      <c r="J33" s="268"/>
      <c r="K33" s="258">
        <f>SUM(K21:K32)</f>
        <v>493217.77</v>
      </c>
    </row>
    <row r="34" spans="1:11" s="225" customFormat="1">
      <c r="A34" s="110"/>
      <c r="B34" s="111"/>
      <c r="C34" s="1"/>
      <c r="D34" s="1"/>
      <c r="E34" s="1"/>
      <c r="F34" s="1"/>
      <c r="G34" s="1"/>
      <c r="H34" s="1"/>
      <c r="I34" s="1"/>
      <c r="J34" s="1"/>
      <c r="K34" s="1"/>
    </row>
  </sheetData>
  <mergeCells count="8">
    <mergeCell ref="J19:K19"/>
    <mergeCell ref="H19:I19"/>
    <mergeCell ref="B19:C19"/>
    <mergeCell ref="D19:E19"/>
    <mergeCell ref="Q1:S1"/>
    <mergeCell ref="A1:B1"/>
    <mergeCell ref="A19:A20"/>
    <mergeCell ref="F19:G19"/>
  </mergeCells>
  <phoneticPr fontId="5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K53"/>
  <sheetViews>
    <sheetView workbookViewId="0">
      <pane ySplit="3" topLeftCell="A4" activePane="bottomLeft" state="frozen"/>
      <selection pane="bottomLeft" activeCell="A12" sqref="A12"/>
    </sheetView>
  </sheetViews>
  <sheetFormatPr defaultColWidth="8.85546875" defaultRowHeight="12.75"/>
  <cols>
    <col min="1" max="1" width="3.28515625" style="165" customWidth="1"/>
    <col min="2" max="2" width="11.140625" style="165" hidden="1" customWidth="1"/>
    <col min="3" max="3" width="13.140625" style="165" hidden="1" customWidth="1"/>
    <col min="4" max="6" width="26.7109375" style="165" customWidth="1"/>
    <col min="7" max="7" width="20.7109375" style="165" customWidth="1"/>
    <col min="8" max="8" width="10.42578125" style="165" customWidth="1"/>
    <col min="9" max="9" width="9.42578125" style="165" customWidth="1"/>
    <col min="10" max="16384" width="8.85546875" style="165"/>
  </cols>
  <sheetData>
    <row r="2" spans="1:10" s="159" customFormat="1">
      <c r="B2" s="1064" t="s">
        <v>147</v>
      </c>
      <c r="C2" s="1065"/>
      <c r="D2" s="1063" t="s">
        <v>6</v>
      </c>
      <c r="E2" s="1063"/>
      <c r="F2" s="1063"/>
      <c r="G2" s="1063" t="s">
        <v>12</v>
      </c>
      <c r="H2" s="1063" t="s">
        <v>118</v>
      </c>
      <c r="I2" s="1063" t="s">
        <v>137</v>
      </c>
    </row>
    <row r="3" spans="1:10" s="159" customFormat="1">
      <c r="B3" s="209" t="s">
        <v>146</v>
      </c>
      <c r="C3" s="313" t="s">
        <v>81</v>
      </c>
      <c r="D3" s="314" t="s">
        <v>10</v>
      </c>
      <c r="E3" s="314" t="s">
        <v>220</v>
      </c>
      <c r="F3" s="314" t="s">
        <v>81</v>
      </c>
      <c r="G3" s="1063"/>
      <c r="H3" s="1063"/>
      <c r="I3" s="1063"/>
    </row>
    <row r="4" spans="1:10" s="159" customFormat="1">
      <c r="A4" s="159">
        <v>1</v>
      </c>
      <c r="B4" s="160"/>
      <c r="C4" s="191"/>
      <c r="D4" s="315">
        <v>253</v>
      </c>
      <c r="E4" s="315">
        <v>253</v>
      </c>
      <c r="F4" s="315">
        <v>12</v>
      </c>
      <c r="G4" s="316"/>
      <c r="H4" s="317"/>
      <c r="I4" s="318"/>
      <c r="J4" s="159">
        <f>SUM(C4:I4)</f>
        <v>518</v>
      </c>
    </row>
    <row r="5" spans="1:10" s="159" customFormat="1">
      <c r="A5" s="159">
        <v>2</v>
      </c>
      <c r="B5" s="160"/>
      <c r="C5" s="191"/>
      <c r="D5" s="319">
        <v>235</v>
      </c>
      <c r="E5" s="319">
        <v>248</v>
      </c>
      <c r="F5" s="319">
        <v>6</v>
      </c>
      <c r="G5" s="320"/>
      <c r="H5" s="321"/>
      <c r="I5" s="322"/>
      <c r="J5" s="159">
        <f t="shared" ref="J5:J15" si="0">SUM(C5:I5)</f>
        <v>489</v>
      </c>
    </row>
    <row r="6" spans="1:10" s="159" customFormat="1">
      <c r="A6" s="159">
        <v>3</v>
      </c>
      <c r="B6" s="160"/>
      <c r="C6" s="191"/>
      <c r="D6" s="319">
        <v>215</v>
      </c>
      <c r="E6" s="319">
        <v>242</v>
      </c>
      <c r="F6" s="319">
        <v>6</v>
      </c>
      <c r="G6" s="320"/>
      <c r="H6" s="321"/>
      <c r="I6" s="322"/>
      <c r="J6" s="159">
        <f t="shared" si="0"/>
        <v>463</v>
      </c>
    </row>
    <row r="7" spans="1:10" s="159" customFormat="1">
      <c r="A7" s="159">
        <v>4</v>
      </c>
      <c r="B7" s="160"/>
      <c r="C7" s="191"/>
      <c r="D7" s="319">
        <v>220</v>
      </c>
      <c r="E7" s="319">
        <v>221</v>
      </c>
      <c r="F7" s="319">
        <v>6</v>
      </c>
      <c r="G7" s="320"/>
      <c r="H7" s="321"/>
      <c r="I7" s="322"/>
      <c r="J7" s="159">
        <f t="shared" si="0"/>
        <v>447</v>
      </c>
    </row>
    <row r="8" spans="1:10" s="159" customFormat="1">
      <c r="A8" s="159">
        <v>5</v>
      </c>
      <c r="B8" s="160"/>
      <c r="C8" s="191"/>
      <c r="D8" s="563">
        <v>230</v>
      </c>
      <c r="E8" s="563">
        <f>240</f>
        <v>240</v>
      </c>
      <c r="F8" s="563">
        <f>6</f>
        <v>6</v>
      </c>
      <c r="G8" s="320"/>
      <c r="H8" s="321"/>
      <c r="I8" s="322"/>
      <c r="J8" s="159">
        <f t="shared" si="0"/>
        <v>476</v>
      </c>
    </row>
    <row r="9" spans="1:10" s="159" customFormat="1">
      <c r="A9" s="159">
        <v>6</v>
      </c>
      <c r="B9" s="160"/>
      <c r="C9" s="191"/>
      <c r="D9" s="563">
        <f>267</f>
        <v>267</v>
      </c>
      <c r="E9" s="563">
        <f>263</f>
        <v>263</v>
      </c>
      <c r="F9" s="563">
        <f>6</f>
        <v>6</v>
      </c>
      <c r="G9" s="320"/>
      <c r="H9" s="321"/>
      <c r="I9" s="322"/>
      <c r="J9" s="159">
        <f t="shared" si="0"/>
        <v>536</v>
      </c>
    </row>
    <row r="10" spans="1:10" s="159" customFormat="1">
      <c r="A10" s="159">
        <v>7</v>
      </c>
      <c r="B10" s="160"/>
      <c r="C10" s="191"/>
      <c r="D10" s="563">
        <f>268</f>
        <v>268</v>
      </c>
      <c r="E10" s="563">
        <f>288</f>
        <v>288</v>
      </c>
      <c r="F10" s="563">
        <f>6</f>
        <v>6</v>
      </c>
      <c r="G10" s="320"/>
      <c r="H10" s="321"/>
      <c r="I10" s="322"/>
      <c r="J10" s="159">
        <f t="shared" si="0"/>
        <v>562</v>
      </c>
    </row>
    <row r="11" spans="1:10" s="159" customFormat="1">
      <c r="A11" s="159">
        <v>8</v>
      </c>
      <c r="B11" s="160"/>
      <c r="C11" s="191"/>
      <c r="D11" s="563">
        <f>248</f>
        <v>248</v>
      </c>
      <c r="E11" s="563">
        <f>262</f>
        <v>262</v>
      </c>
      <c r="F11" s="563">
        <f>4</f>
        <v>4</v>
      </c>
      <c r="G11" s="320"/>
      <c r="H11" s="321"/>
      <c r="I11" s="322"/>
      <c r="J11" s="159">
        <f t="shared" si="0"/>
        <v>514</v>
      </c>
    </row>
    <row r="12" spans="1:10" s="159" customFormat="1">
      <c r="A12" s="1025">
        <v>9</v>
      </c>
      <c r="B12" s="160"/>
      <c r="C12" s="191"/>
      <c r="D12" s="561">
        <f>'BKK-กันยายน 58'!J75</f>
        <v>251</v>
      </c>
      <c r="E12" s="323">
        <f>'PTY-กันยายน 58'!M20</f>
        <v>266</v>
      </c>
      <c r="F12" s="323">
        <f>'CHON-กันยายน 58'!M19</f>
        <v>4</v>
      </c>
      <c r="G12" s="320"/>
      <c r="H12" s="321"/>
      <c r="I12" s="322"/>
      <c r="J12" s="159">
        <f t="shared" si="0"/>
        <v>521</v>
      </c>
    </row>
    <row r="13" spans="1:10" s="159" customFormat="1">
      <c r="A13" s="159">
        <v>10</v>
      </c>
      <c r="B13" s="160"/>
      <c r="C13" s="191"/>
      <c r="D13" s="324"/>
      <c r="E13" s="324"/>
      <c r="F13" s="325"/>
      <c r="G13" s="320"/>
      <c r="H13" s="321"/>
      <c r="I13" s="322"/>
      <c r="J13" s="159">
        <f t="shared" si="0"/>
        <v>0</v>
      </c>
    </row>
    <row r="14" spans="1:10" s="159" customFormat="1">
      <c r="A14" s="159">
        <v>11</v>
      </c>
      <c r="B14" s="160"/>
      <c r="C14" s="191"/>
      <c r="D14" s="324"/>
      <c r="E14" s="324"/>
      <c r="F14" s="325"/>
      <c r="G14" s="320"/>
      <c r="H14" s="321"/>
      <c r="I14" s="322"/>
      <c r="J14" s="159">
        <f t="shared" si="0"/>
        <v>0</v>
      </c>
    </row>
    <row r="15" spans="1:10" s="159" customFormat="1">
      <c r="A15" s="159">
        <v>12</v>
      </c>
      <c r="B15" s="160"/>
      <c r="C15" s="191"/>
      <c r="D15" s="324"/>
      <c r="E15" s="324"/>
      <c r="F15" s="325"/>
      <c r="G15" s="320"/>
      <c r="H15" s="321"/>
      <c r="I15" s="322"/>
      <c r="J15" s="159">
        <f t="shared" si="0"/>
        <v>0</v>
      </c>
    </row>
    <row r="16" spans="1:10" s="159" customFormat="1">
      <c r="A16" s="159">
        <v>1</v>
      </c>
      <c r="B16" s="170"/>
      <c r="C16" s="162"/>
      <c r="D16" s="161" t="s">
        <v>347</v>
      </c>
      <c r="E16" s="161" t="s">
        <v>349</v>
      </c>
      <c r="F16" s="795"/>
      <c r="G16" s="162"/>
      <c r="H16" s="162"/>
      <c r="I16" s="161"/>
    </row>
    <row r="17" spans="1:11" s="159" customFormat="1">
      <c r="A17" s="159">
        <v>2</v>
      </c>
      <c r="B17" s="170"/>
      <c r="D17" s="161" t="s">
        <v>348</v>
      </c>
      <c r="E17" s="161" t="s">
        <v>350</v>
      </c>
      <c r="F17" s="202" t="s">
        <v>354</v>
      </c>
      <c r="G17" s="202"/>
      <c r="H17" s="163"/>
      <c r="I17" s="161"/>
    </row>
    <row r="18" spans="1:11" s="159" customFormat="1">
      <c r="A18" s="159">
        <v>3</v>
      </c>
      <c r="B18" s="170"/>
      <c r="C18" s="170"/>
      <c r="D18" s="161" t="s">
        <v>391</v>
      </c>
      <c r="E18" s="161" t="s">
        <v>351</v>
      </c>
      <c r="F18" s="211" t="s">
        <v>355</v>
      </c>
      <c r="G18" s="162"/>
      <c r="I18" s="190"/>
    </row>
    <row r="19" spans="1:11" s="159" customFormat="1">
      <c r="A19" s="159">
        <v>4</v>
      </c>
      <c r="B19" s="211"/>
      <c r="C19" s="164"/>
      <c r="D19" s="161" t="s">
        <v>390</v>
      </c>
      <c r="E19" s="161" t="s">
        <v>352</v>
      </c>
      <c r="F19" s="163"/>
      <c r="I19" s="161"/>
    </row>
    <row r="20" spans="1:11" s="159" customFormat="1">
      <c r="A20" s="159">
        <v>5</v>
      </c>
      <c r="B20" s="170"/>
      <c r="C20" s="164"/>
      <c r="D20" s="161" t="s">
        <v>392</v>
      </c>
      <c r="E20" s="161" t="s">
        <v>353</v>
      </c>
      <c r="F20" s="163"/>
      <c r="I20" s="161"/>
    </row>
    <row r="21" spans="1:11" s="159" customFormat="1">
      <c r="A21" s="159">
        <v>6</v>
      </c>
      <c r="B21" s="170"/>
      <c r="D21" s="332"/>
      <c r="E21" s="161"/>
      <c r="F21" s="211"/>
      <c r="I21" s="161"/>
    </row>
    <row r="22" spans="1:11" s="159" customFormat="1">
      <c r="A22" s="159">
        <v>7</v>
      </c>
      <c r="B22" s="170"/>
      <c r="D22" s="161"/>
      <c r="E22" s="190"/>
      <c r="F22" s="161"/>
      <c r="I22" s="161"/>
    </row>
    <row r="23" spans="1:11" s="159" customFormat="1">
      <c r="A23" s="159">
        <v>8</v>
      </c>
      <c r="B23" s="170"/>
      <c r="D23" s="161"/>
      <c r="E23" s="161"/>
      <c r="F23" s="161"/>
      <c r="I23" s="161"/>
    </row>
    <row r="24" spans="1:11">
      <c r="A24" s="159">
        <v>9</v>
      </c>
      <c r="D24" s="166"/>
      <c r="E24" s="166"/>
      <c r="F24" s="166"/>
      <c r="I24" s="166"/>
    </row>
    <row r="25" spans="1:11">
      <c r="A25" s="159">
        <v>10</v>
      </c>
      <c r="D25" s="166"/>
      <c r="E25" s="166"/>
      <c r="F25" s="166"/>
      <c r="I25" s="166"/>
    </row>
    <row r="26" spans="1:11">
      <c r="I26" s="166"/>
    </row>
    <row r="27" spans="1:11" s="159" customFormat="1" ht="15">
      <c r="B27" s="242">
        <f t="shared" ref="B27:I27" si="1">COUNTA(B16:B26)</f>
        <v>0</v>
      </c>
      <c r="C27" s="242">
        <f t="shared" si="1"/>
        <v>0</v>
      </c>
      <c r="D27" s="242">
        <f t="shared" si="1"/>
        <v>5</v>
      </c>
      <c r="E27" s="242">
        <f t="shared" si="1"/>
        <v>5</v>
      </c>
      <c r="F27" s="242">
        <f t="shared" si="1"/>
        <v>2</v>
      </c>
      <c r="G27" s="242">
        <f t="shared" si="1"/>
        <v>0</v>
      </c>
      <c r="H27" s="242">
        <f t="shared" si="1"/>
        <v>0</v>
      </c>
      <c r="I27" s="242">
        <f t="shared" si="1"/>
        <v>0</v>
      </c>
      <c r="J27" s="167">
        <f>SUM(B27:I27)</f>
        <v>12</v>
      </c>
      <c r="K27" s="159" t="s">
        <v>134</v>
      </c>
    </row>
    <row r="28" spans="1:11">
      <c r="D28" s="159"/>
    </row>
    <row r="30" spans="1:11">
      <c r="A30" s="169"/>
      <c r="D30" s="168" t="s">
        <v>95</v>
      </c>
      <c r="F30" s="310" t="s">
        <v>385</v>
      </c>
      <c r="G30" s="310" t="s">
        <v>368</v>
      </c>
      <c r="H30" s="310" t="s">
        <v>357</v>
      </c>
    </row>
    <row r="31" spans="1:11">
      <c r="A31" s="169">
        <v>1</v>
      </c>
      <c r="D31" s="159" t="s">
        <v>387</v>
      </c>
      <c r="F31" s="311" t="s">
        <v>386</v>
      </c>
      <c r="G31" s="311" t="s">
        <v>207</v>
      </c>
      <c r="H31" s="311" t="s">
        <v>207</v>
      </c>
    </row>
    <row r="32" spans="1:11">
      <c r="A32" s="169">
        <f t="shared" ref="A32:A50" si="2">+A31+1</f>
        <v>2</v>
      </c>
      <c r="D32" s="165" t="s">
        <v>362</v>
      </c>
      <c r="F32" s="311" t="s">
        <v>362</v>
      </c>
      <c r="G32" s="311" t="s">
        <v>208</v>
      </c>
      <c r="H32" s="311" t="s">
        <v>208</v>
      </c>
    </row>
    <row r="33" spans="1:8">
      <c r="A33" s="169">
        <f t="shared" si="2"/>
        <v>3</v>
      </c>
      <c r="D33" s="165" t="s">
        <v>359</v>
      </c>
      <c r="F33" s="311" t="s">
        <v>358</v>
      </c>
      <c r="G33" s="311" t="s">
        <v>223</v>
      </c>
      <c r="H33" s="311" t="s">
        <v>223</v>
      </c>
    </row>
    <row r="34" spans="1:8">
      <c r="A34" s="169">
        <f t="shared" si="2"/>
        <v>4</v>
      </c>
      <c r="D34" s="165" t="s">
        <v>361</v>
      </c>
      <c r="F34" s="311" t="s">
        <v>359</v>
      </c>
      <c r="G34" s="311" t="s">
        <v>209</v>
      </c>
      <c r="H34" s="311" t="s">
        <v>209</v>
      </c>
    </row>
    <row r="35" spans="1:8">
      <c r="A35" s="169">
        <f t="shared" si="2"/>
        <v>5</v>
      </c>
      <c r="D35" s="165" t="s">
        <v>365</v>
      </c>
      <c r="F35" s="311" t="s">
        <v>361</v>
      </c>
      <c r="G35" s="311" t="s">
        <v>212</v>
      </c>
      <c r="H35" s="311" t="s">
        <v>212</v>
      </c>
    </row>
    <row r="36" spans="1:8">
      <c r="A36" s="169">
        <f t="shared" si="2"/>
        <v>6</v>
      </c>
      <c r="D36" s="165" t="s">
        <v>363</v>
      </c>
      <c r="F36" s="311" t="s">
        <v>365</v>
      </c>
      <c r="G36" s="312" t="s">
        <v>213</v>
      </c>
      <c r="H36" s="312" t="s">
        <v>213</v>
      </c>
    </row>
    <row r="37" spans="1:8">
      <c r="A37" s="169">
        <f t="shared" si="2"/>
        <v>7</v>
      </c>
      <c r="D37" s="165" t="s">
        <v>360</v>
      </c>
      <c r="F37" s="311" t="s">
        <v>363</v>
      </c>
      <c r="G37" s="311" t="s">
        <v>214</v>
      </c>
      <c r="H37" s="311" t="s">
        <v>214</v>
      </c>
    </row>
    <row r="38" spans="1:8">
      <c r="A38" s="169">
        <v>8</v>
      </c>
      <c r="D38" s="165" t="s">
        <v>364</v>
      </c>
      <c r="F38" s="311" t="s">
        <v>360</v>
      </c>
      <c r="G38" s="312" t="s">
        <v>215</v>
      </c>
      <c r="H38" s="312" t="s">
        <v>215</v>
      </c>
    </row>
    <row r="39" spans="1:8">
      <c r="A39" s="169">
        <v>9</v>
      </c>
      <c r="D39" s="159" t="s">
        <v>367</v>
      </c>
      <c r="E39" s="169"/>
      <c r="F39" s="311" t="s">
        <v>364</v>
      </c>
      <c r="G39" s="311" t="s">
        <v>224</v>
      </c>
      <c r="H39" s="311" t="s">
        <v>224</v>
      </c>
    </row>
    <row r="40" spans="1:8">
      <c r="A40" s="169">
        <f t="shared" si="2"/>
        <v>10</v>
      </c>
      <c r="D40" s="159" t="s">
        <v>210</v>
      </c>
      <c r="E40" s="169"/>
      <c r="F40" s="311" t="s">
        <v>367</v>
      </c>
      <c r="G40" s="311" t="s">
        <v>356</v>
      </c>
      <c r="H40" s="311" t="s">
        <v>356</v>
      </c>
    </row>
    <row r="41" spans="1:8">
      <c r="A41" s="169">
        <f t="shared" si="2"/>
        <v>11</v>
      </c>
      <c r="D41" s="159" t="s">
        <v>388</v>
      </c>
      <c r="F41" s="311" t="s">
        <v>210</v>
      </c>
      <c r="G41" s="311" t="s">
        <v>210</v>
      </c>
      <c r="H41" s="311" t="s">
        <v>210</v>
      </c>
    </row>
    <row r="42" spans="1:8">
      <c r="A42" s="169">
        <f t="shared" si="2"/>
        <v>12</v>
      </c>
      <c r="D42" s="159" t="s">
        <v>369</v>
      </c>
      <c r="F42" s="311" t="s">
        <v>366</v>
      </c>
      <c r="G42" s="311"/>
      <c r="H42" s="311" t="s">
        <v>211</v>
      </c>
    </row>
    <row r="43" spans="1:8">
      <c r="A43" s="169">
        <f t="shared" si="2"/>
        <v>13</v>
      </c>
      <c r="D43" s="159"/>
      <c r="F43" s="311"/>
    </row>
    <row r="44" spans="1:8" s="169" customFormat="1">
      <c r="A44" s="169">
        <f t="shared" si="2"/>
        <v>14</v>
      </c>
      <c r="D44" s="159"/>
      <c r="E44" s="165"/>
      <c r="F44" s="311"/>
    </row>
    <row r="45" spans="1:8" s="169" customFormat="1">
      <c r="A45" s="169">
        <f t="shared" si="2"/>
        <v>15</v>
      </c>
      <c r="D45" s="159"/>
      <c r="E45" s="165"/>
      <c r="F45" s="311"/>
    </row>
    <row r="46" spans="1:8">
      <c r="A46" s="169">
        <f t="shared" si="2"/>
        <v>16</v>
      </c>
    </row>
    <row r="47" spans="1:8">
      <c r="A47" s="169">
        <f t="shared" si="2"/>
        <v>17</v>
      </c>
    </row>
    <row r="48" spans="1:8">
      <c r="A48" s="169">
        <f t="shared" si="2"/>
        <v>18</v>
      </c>
    </row>
    <row r="49" spans="1:7">
      <c r="A49" s="169">
        <f t="shared" si="2"/>
        <v>19</v>
      </c>
    </row>
    <row r="50" spans="1:7">
      <c r="A50" s="169">
        <f t="shared" si="2"/>
        <v>20</v>
      </c>
    </row>
    <row r="51" spans="1:7" ht="15">
      <c r="A51" s="169"/>
      <c r="D51" s="242">
        <f>COUNTA(D31:D50)</f>
        <v>12</v>
      </c>
      <c r="F51" s="326">
        <f>COUNTA(F31:F50)</f>
        <v>12</v>
      </c>
      <c r="G51" s="326">
        <f>COUNTA(G31:G50)</f>
        <v>11</v>
      </c>
    </row>
    <row r="52" spans="1:7">
      <c r="D52" s="159" t="s">
        <v>389</v>
      </c>
      <c r="F52" s="159" t="s">
        <v>369</v>
      </c>
    </row>
    <row r="53" spans="1:7">
      <c r="F53" s="159"/>
    </row>
  </sheetData>
  <mergeCells count="5">
    <mergeCell ref="G2:G3"/>
    <mergeCell ref="I2:I3"/>
    <mergeCell ref="D2:F2"/>
    <mergeCell ref="B2:C2"/>
    <mergeCell ref="H2:H3"/>
  </mergeCells>
  <phoneticPr fontId="0" type="noConversion"/>
  <pageMargins left="0.12" right="0.17" top="1" bottom="1" header="0.5" footer="0.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L75"/>
  <sheetViews>
    <sheetView zoomScale="90" zoomScaleNormal="90" workbookViewId="0">
      <pane xSplit="2" ySplit="2" topLeftCell="H3" activePane="bottomRight" state="frozen"/>
      <selection activeCell="A88" sqref="A88"/>
      <selection pane="topRight" activeCell="A88" sqref="A88"/>
      <selection pane="bottomLeft" activeCell="A88" sqref="A88"/>
      <selection pane="bottomRight" activeCell="K18" sqref="K18"/>
    </sheetView>
  </sheetViews>
  <sheetFormatPr defaultRowHeight="12.75"/>
  <cols>
    <col min="1" max="1" width="19.85546875" bestFit="1" customWidth="1"/>
    <col min="2" max="2" width="55.140625" bestFit="1" customWidth="1"/>
    <col min="3" max="7" width="18.28515625" hidden="1" customWidth="1"/>
    <col min="8" max="9" width="18.28515625" bestFit="1" customWidth="1"/>
    <col min="10" max="10" width="18.28515625" style="856" bestFit="1" customWidth="1"/>
    <col min="11" max="11" width="18.28515625" style="852" bestFit="1" customWidth="1"/>
  </cols>
  <sheetData>
    <row r="2" spans="1:11" ht="14.25">
      <c r="A2" s="309" t="s">
        <v>203</v>
      </c>
      <c r="B2" s="309" t="s">
        <v>202</v>
      </c>
      <c r="C2" s="309" t="s">
        <v>298</v>
      </c>
      <c r="D2" s="309" t="s">
        <v>299</v>
      </c>
      <c r="E2" s="309" t="s">
        <v>300</v>
      </c>
      <c r="F2" s="309" t="s">
        <v>301</v>
      </c>
      <c r="G2" s="309" t="s">
        <v>342</v>
      </c>
      <c r="H2" s="309" t="s">
        <v>370</v>
      </c>
      <c r="I2" s="309" t="s">
        <v>378</v>
      </c>
      <c r="J2" s="1027" t="s">
        <v>411</v>
      </c>
      <c r="K2" s="1027" t="s">
        <v>480</v>
      </c>
    </row>
    <row r="3" spans="1:11" ht="14.25">
      <c r="A3" s="294" t="s">
        <v>6</v>
      </c>
      <c r="B3" s="295" t="s">
        <v>302</v>
      </c>
      <c r="C3" s="296">
        <v>58740</v>
      </c>
      <c r="D3" s="296">
        <v>58929.5</v>
      </c>
      <c r="E3" s="296">
        <v>63971.5</v>
      </c>
      <c r="F3" s="296">
        <v>62394.5</v>
      </c>
      <c r="G3" s="296">
        <v>60535</v>
      </c>
      <c r="H3" s="754">
        <f>7915</f>
        <v>7915</v>
      </c>
      <c r="I3" s="762">
        <f>0</f>
        <v>0</v>
      </c>
      <c r="J3" s="760">
        <f>0</f>
        <v>0</v>
      </c>
      <c r="K3" s="760">
        <f>0</f>
        <v>0</v>
      </c>
    </row>
    <row r="4" spans="1:11" ht="14.25">
      <c r="A4" s="297"/>
      <c r="B4" s="298" t="s">
        <v>303</v>
      </c>
      <c r="C4" s="299">
        <v>153006.85999999999</v>
      </c>
      <c r="D4" s="299">
        <v>133028.07999999999</v>
      </c>
      <c r="E4" s="299">
        <v>114922.58</v>
      </c>
      <c r="F4" s="299">
        <v>144919.6</v>
      </c>
      <c r="G4" s="299">
        <v>137153.85</v>
      </c>
      <c r="H4" s="755">
        <f>142572.07</f>
        <v>142572.07</v>
      </c>
      <c r="I4" s="756">
        <f>122109.03</f>
        <v>122109.03</v>
      </c>
      <c r="J4" s="756">
        <f>122219.53+57680</f>
        <v>179899.53</v>
      </c>
      <c r="K4" s="756">
        <f>103554.34</f>
        <v>103554.34</v>
      </c>
    </row>
    <row r="5" spans="1:11" ht="14.25">
      <c r="A5" s="294"/>
      <c r="B5" s="295" t="s">
        <v>200</v>
      </c>
      <c r="C5" s="296">
        <v>100944</v>
      </c>
      <c r="D5" s="296">
        <v>97552.5</v>
      </c>
      <c r="E5" s="296">
        <v>101513</v>
      </c>
      <c r="F5" s="760">
        <v>0</v>
      </c>
      <c r="G5" s="760">
        <v>0</v>
      </c>
      <c r="H5" s="760">
        <f>0</f>
        <v>0</v>
      </c>
      <c r="I5" s="760">
        <f>0</f>
        <v>0</v>
      </c>
      <c r="J5" s="760">
        <f>0</f>
        <v>0</v>
      </c>
      <c r="K5" s="760">
        <f>0</f>
        <v>0</v>
      </c>
    </row>
    <row r="6" spans="1:11" ht="14.25">
      <c r="A6" s="297"/>
      <c r="B6" s="298" t="s">
        <v>304</v>
      </c>
      <c r="C6" s="299">
        <v>48575.11</v>
      </c>
      <c r="D6" s="299">
        <v>53707.3</v>
      </c>
      <c r="E6" s="299">
        <v>45663.79</v>
      </c>
      <c r="F6" s="299">
        <v>0</v>
      </c>
      <c r="G6" s="299">
        <v>24475.5</v>
      </c>
      <c r="H6" s="755">
        <f>26806.5</f>
        <v>26806.5</v>
      </c>
      <c r="I6" s="756">
        <f>27830.25</f>
        <v>27830.25</v>
      </c>
      <c r="J6" s="756">
        <f>30240</f>
        <v>30240</v>
      </c>
      <c r="K6" s="835">
        <f>28302.75</f>
        <v>28302.75</v>
      </c>
    </row>
    <row r="7" spans="1:11" ht="14.25">
      <c r="A7" s="294"/>
      <c r="B7" s="295" t="s">
        <v>305</v>
      </c>
      <c r="C7" s="296">
        <v>15331.33</v>
      </c>
      <c r="D7" s="296">
        <v>16960</v>
      </c>
      <c r="E7" s="296">
        <v>15595.66</v>
      </c>
      <c r="F7" s="296">
        <v>16960</v>
      </c>
      <c r="G7" s="296">
        <v>16960</v>
      </c>
      <c r="H7" s="754">
        <f>15250</f>
        <v>15250</v>
      </c>
      <c r="I7" s="827">
        <f>15860</f>
        <v>15860</v>
      </c>
      <c r="J7" s="827">
        <f>11793.33</f>
        <v>11793.33</v>
      </c>
      <c r="K7" s="827">
        <f>9881.99</f>
        <v>9881.99</v>
      </c>
    </row>
    <row r="8" spans="1:11" ht="14.25">
      <c r="A8" s="297"/>
      <c r="B8" s="298" t="s">
        <v>306</v>
      </c>
      <c r="C8" s="299">
        <v>33292.19</v>
      </c>
      <c r="D8" s="299">
        <v>36501.25</v>
      </c>
      <c r="E8" s="299">
        <v>8992.5</v>
      </c>
      <c r="F8" s="761">
        <v>0</v>
      </c>
      <c r="G8" s="761">
        <v>0</v>
      </c>
      <c r="H8" s="761">
        <f>0</f>
        <v>0</v>
      </c>
      <c r="I8" s="761">
        <f>0</f>
        <v>0</v>
      </c>
      <c r="J8" s="761">
        <f>0</f>
        <v>0</v>
      </c>
      <c r="K8" s="761">
        <f>0</f>
        <v>0</v>
      </c>
    </row>
    <row r="9" spans="1:11" ht="14.25">
      <c r="A9" s="294"/>
      <c r="B9" s="295" t="s">
        <v>307</v>
      </c>
      <c r="C9" s="296">
        <v>32779.980000000003</v>
      </c>
      <c r="D9" s="296">
        <v>31681.83</v>
      </c>
      <c r="E9" s="296">
        <v>29442.58</v>
      </c>
      <c r="F9" s="296">
        <v>34143.410000000003</v>
      </c>
      <c r="G9" s="296">
        <v>44447.98</v>
      </c>
      <c r="H9" s="754">
        <f>36349.73</f>
        <v>36349.730000000003</v>
      </c>
      <c r="I9" s="825">
        <f>35868.95</f>
        <v>35868.949999999997</v>
      </c>
      <c r="J9" s="827">
        <f>36212.58</f>
        <v>36212.58</v>
      </c>
      <c r="K9" s="827">
        <f>40496.05</f>
        <v>40496.050000000003</v>
      </c>
    </row>
    <row r="10" spans="1:11" ht="14.25">
      <c r="A10" s="297"/>
      <c r="B10" s="298" t="s">
        <v>308</v>
      </c>
      <c r="C10" s="299">
        <v>470493.01</v>
      </c>
      <c r="D10" s="299">
        <v>585838.97</v>
      </c>
      <c r="E10" s="299">
        <v>476238.69</v>
      </c>
      <c r="F10" s="299">
        <v>414082.07</v>
      </c>
      <c r="G10" s="299">
        <v>433859.08</v>
      </c>
      <c r="H10" s="756">
        <f>433830.8</f>
        <v>433830.8</v>
      </c>
      <c r="I10" s="756">
        <f>434731.64</f>
        <v>434731.64</v>
      </c>
      <c r="J10" s="756">
        <f>434140.32</f>
        <v>434140.32</v>
      </c>
      <c r="K10" s="756">
        <f>417499.23</f>
        <v>417499.23</v>
      </c>
    </row>
    <row r="11" spans="1:11" ht="14.25">
      <c r="A11" s="294"/>
      <c r="B11" s="295" t="s">
        <v>309</v>
      </c>
      <c r="C11" s="296">
        <v>470028.51</v>
      </c>
      <c r="D11" s="296">
        <v>459673.33</v>
      </c>
      <c r="E11" s="296">
        <v>449622.67</v>
      </c>
      <c r="F11" s="296">
        <v>422230.84</v>
      </c>
      <c r="G11" s="296">
        <v>402242.5</v>
      </c>
      <c r="H11" s="754">
        <f>387296.69</f>
        <v>387296.69</v>
      </c>
      <c r="I11" s="827">
        <f>254391.5+138709</f>
        <v>393100.5</v>
      </c>
      <c r="J11" s="827">
        <f>253462.5+134541.5</f>
        <v>388004</v>
      </c>
      <c r="K11" s="827">
        <f>220724.67+125547</f>
        <v>346271.67000000004</v>
      </c>
    </row>
    <row r="12" spans="1:11" ht="14.25">
      <c r="A12" s="297"/>
      <c r="B12" s="298" t="s">
        <v>310</v>
      </c>
      <c r="C12" s="299">
        <v>17077.55</v>
      </c>
      <c r="D12" s="299">
        <v>17387.12</v>
      </c>
      <c r="E12" s="299">
        <v>17283.93</v>
      </c>
      <c r="F12" s="299">
        <v>17232.330000000002</v>
      </c>
      <c r="G12" s="299">
        <v>17180.740000000002</v>
      </c>
      <c r="H12" s="755">
        <f>17232.33</f>
        <v>17232.330000000002</v>
      </c>
      <c r="I12" s="756">
        <f>17387.12</f>
        <v>17387.12</v>
      </c>
      <c r="J12" s="756">
        <f>17283.93</f>
        <v>17283.93</v>
      </c>
      <c r="K12" s="756">
        <f>17180.74</f>
        <v>17180.740000000002</v>
      </c>
    </row>
    <row r="13" spans="1:11" ht="14.25">
      <c r="A13" s="294"/>
      <c r="B13" s="295" t="s">
        <v>311</v>
      </c>
      <c r="C13" s="296">
        <v>75741.67</v>
      </c>
      <c r="D13" s="296">
        <v>73708.34</v>
      </c>
      <c r="E13" s="296">
        <v>73708.33</v>
      </c>
      <c r="F13" s="296">
        <v>53883.33</v>
      </c>
      <c r="G13" s="296">
        <v>45750</v>
      </c>
      <c r="H13" s="754">
        <f>45750</f>
        <v>45750</v>
      </c>
      <c r="I13" s="825">
        <f>36600</f>
        <v>36600</v>
      </c>
      <c r="J13" s="827">
        <f>45750</f>
        <v>45750</v>
      </c>
      <c r="K13" s="832">
        <f>45750</f>
        <v>45750</v>
      </c>
    </row>
    <row r="14" spans="1:11" ht="14.25">
      <c r="A14" s="297"/>
      <c r="B14" s="298" t="s">
        <v>312</v>
      </c>
      <c r="C14" s="299">
        <v>612511.69999999995</v>
      </c>
      <c r="D14" s="299">
        <v>646367.65</v>
      </c>
      <c r="E14" s="299">
        <v>623771.57999999996</v>
      </c>
      <c r="F14" s="299">
        <v>606236.06000000006</v>
      </c>
      <c r="G14" s="299">
        <v>593278.34</v>
      </c>
      <c r="H14" s="755">
        <f>586316.92</f>
        <v>586316.92000000004</v>
      </c>
      <c r="I14" s="826">
        <f>601476.78</f>
        <v>601476.78</v>
      </c>
      <c r="J14" s="1028">
        <f>590440+2367.95</f>
        <v>592807.94999999995</v>
      </c>
      <c r="K14" s="835">
        <f>604977+1993.48</f>
        <v>606970.48</v>
      </c>
    </row>
    <row r="15" spans="1:11" ht="14.25">
      <c r="A15" s="294"/>
      <c r="B15" s="295" t="s">
        <v>313</v>
      </c>
      <c r="C15" s="296">
        <v>23182.41</v>
      </c>
      <c r="D15" s="760">
        <v>0</v>
      </c>
      <c r="E15" s="760">
        <v>0</v>
      </c>
      <c r="F15" s="760">
        <v>0</v>
      </c>
      <c r="G15" s="760">
        <v>0</v>
      </c>
      <c r="H15" s="760">
        <f>0</f>
        <v>0</v>
      </c>
      <c r="I15" s="760">
        <f>0</f>
        <v>0</v>
      </c>
      <c r="J15" s="760">
        <f>0</f>
        <v>0</v>
      </c>
      <c r="K15" s="760">
        <f>0</f>
        <v>0</v>
      </c>
    </row>
    <row r="16" spans="1:11" ht="14.25">
      <c r="A16" s="297"/>
      <c r="B16" s="298" t="s">
        <v>201</v>
      </c>
      <c r="C16" s="299">
        <v>52280</v>
      </c>
      <c r="D16" s="299">
        <v>44890</v>
      </c>
      <c r="E16" s="299">
        <v>40330</v>
      </c>
      <c r="F16" s="299">
        <v>40330</v>
      </c>
      <c r="G16" s="299">
        <v>39400</v>
      </c>
      <c r="H16" s="755">
        <f>40330</f>
        <v>40330</v>
      </c>
      <c r="I16" s="756">
        <f>14190+14190+11950</f>
        <v>40330</v>
      </c>
      <c r="J16" s="756">
        <f>14190+14190+11950</f>
        <v>40330</v>
      </c>
      <c r="K16" s="756">
        <f>14190+14190+11950</f>
        <v>40330</v>
      </c>
    </row>
    <row r="17" spans="1:12" ht="14.25">
      <c r="A17" s="294"/>
      <c r="B17" s="295" t="s">
        <v>314</v>
      </c>
      <c r="C17" s="296">
        <v>42255</v>
      </c>
      <c r="D17" s="296">
        <v>42255</v>
      </c>
      <c r="E17" s="296">
        <v>42255</v>
      </c>
      <c r="F17" s="296">
        <v>34973.25</v>
      </c>
      <c r="G17" s="296">
        <v>25311</v>
      </c>
      <c r="H17" s="754">
        <f>25740</f>
        <v>25740</v>
      </c>
      <c r="I17" s="760">
        <f>0</f>
        <v>0</v>
      </c>
      <c r="J17" s="760">
        <f>0</f>
        <v>0</v>
      </c>
      <c r="K17" s="831">
        <f>0</f>
        <v>0</v>
      </c>
    </row>
    <row r="18" spans="1:12" ht="14.25">
      <c r="A18" s="297"/>
      <c r="B18" s="298" t="s">
        <v>315</v>
      </c>
      <c r="C18" s="299">
        <v>1193221.6399999999</v>
      </c>
      <c r="D18" s="299">
        <v>1202246.1100000001</v>
      </c>
      <c r="E18" s="299">
        <v>1202107.9899999998</v>
      </c>
      <c r="F18" s="299">
        <v>1181347.8400000001</v>
      </c>
      <c r="G18" s="299">
        <v>1187252.3799999999</v>
      </c>
      <c r="H18" s="755">
        <f>1211546.77</f>
        <v>1211546.77</v>
      </c>
      <c r="I18" s="826">
        <f>1263690.17</f>
        <v>1263690.17</v>
      </c>
      <c r="J18" s="1028">
        <f>1282631.39</f>
        <v>1282631.3899999999</v>
      </c>
      <c r="K18" s="1035">
        <f>1290651.86+14875</f>
        <v>1305526.8600000001</v>
      </c>
      <c r="L18" s="856" t="s">
        <v>531</v>
      </c>
    </row>
    <row r="19" spans="1:12" ht="14.25">
      <c r="A19" s="294"/>
      <c r="B19" s="295" t="s">
        <v>316</v>
      </c>
      <c r="C19" s="296">
        <v>22159.690000000002</v>
      </c>
      <c r="D19" s="296">
        <v>23620</v>
      </c>
      <c r="E19" s="296">
        <v>23620</v>
      </c>
      <c r="F19" s="296">
        <v>23605.510000000002</v>
      </c>
      <c r="G19" s="296">
        <v>23190.86</v>
      </c>
      <c r="H19" s="754">
        <f>22840</f>
        <v>22840</v>
      </c>
      <c r="I19" s="825">
        <f>11700</f>
        <v>11700</v>
      </c>
      <c r="J19" s="1029">
        <f>11793.52</f>
        <v>11793.52</v>
      </c>
      <c r="K19" s="827">
        <f>11700</f>
        <v>11700</v>
      </c>
    </row>
    <row r="20" spans="1:12" ht="14.25">
      <c r="A20" s="297"/>
      <c r="B20" s="298" t="s">
        <v>317</v>
      </c>
      <c r="C20" s="299">
        <v>11900</v>
      </c>
      <c r="D20" s="299">
        <v>11900</v>
      </c>
      <c r="E20" s="299">
        <v>11900</v>
      </c>
      <c r="F20" s="299">
        <v>11900</v>
      </c>
      <c r="G20" s="299">
        <v>11900</v>
      </c>
      <c r="H20" s="755">
        <f>11900</f>
        <v>11900</v>
      </c>
      <c r="I20" s="756">
        <f>11900</f>
        <v>11900</v>
      </c>
      <c r="J20" s="756">
        <f>11900</f>
        <v>11900</v>
      </c>
      <c r="K20" s="756">
        <f>11900</f>
        <v>11900</v>
      </c>
    </row>
    <row r="21" spans="1:12" ht="14.25">
      <c r="A21" s="294"/>
      <c r="B21" s="295" t="s">
        <v>318</v>
      </c>
      <c r="C21" s="296">
        <v>15566.67</v>
      </c>
      <c r="D21" s="296">
        <v>16216.67</v>
      </c>
      <c r="E21" s="296">
        <v>16100</v>
      </c>
      <c r="F21" s="296">
        <v>14933.34</v>
      </c>
      <c r="G21" s="296">
        <v>15466.67</v>
      </c>
      <c r="H21" s="754">
        <f>15733.34</f>
        <v>15733.34</v>
      </c>
      <c r="I21" s="760">
        <f>0</f>
        <v>0</v>
      </c>
      <c r="J21" s="760">
        <f>0</f>
        <v>0</v>
      </c>
      <c r="K21" s="760">
        <f>0</f>
        <v>0</v>
      </c>
    </row>
    <row r="22" spans="1:12" ht="14.25">
      <c r="A22" s="297"/>
      <c r="B22" s="298" t="s">
        <v>319</v>
      </c>
      <c r="C22" s="299">
        <v>38112.71</v>
      </c>
      <c r="D22" s="299">
        <v>18468</v>
      </c>
      <c r="E22" s="299">
        <v>14403.06</v>
      </c>
      <c r="F22" s="299">
        <v>26419.18</v>
      </c>
      <c r="G22" s="299">
        <v>16022.06</v>
      </c>
      <c r="H22" s="755">
        <f>16016.54</f>
        <v>16016.54</v>
      </c>
      <c r="I22" s="826">
        <f>12900</f>
        <v>12900</v>
      </c>
      <c r="J22" s="760">
        <f>0</f>
        <v>0</v>
      </c>
      <c r="K22" s="760">
        <f>0</f>
        <v>0</v>
      </c>
    </row>
    <row r="23" spans="1:12" ht="14.25">
      <c r="A23" s="294"/>
      <c r="B23" s="295" t="s">
        <v>320</v>
      </c>
      <c r="C23" s="296">
        <v>22999.5</v>
      </c>
      <c r="D23" s="296">
        <v>23166.85</v>
      </c>
      <c r="E23" s="296">
        <v>22845.94</v>
      </c>
      <c r="F23" s="296">
        <v>42017.63</v>
      </c>
      <c r="G23" s="760">
        <v>0</v>
      </c>
      <c r="H23" s="760">
        <f>0</f>
        <v>0</v>
      </c>
      <c r="I23" s="760">
        <f>0</f>
        <v>0</v>
      </c>
      <c r="J23" s="760">
        <f>0</f>
        <v>0</v>
      </c>
      <c r="K23" s="760">
        <f>0</f>
        <v>0</v>
      </c>
    </row>
    <row r="24" spans="1:12" ht="14.25">
      <c r="A24" s="297"/>
      <c r="B24" s="298" t="s">
        <v>321</v>
      </c>
      <c r="C24" s="299">
        <v>59493.8</v>
      </c>
      <c r="D24" s="299">
        <v>59818.25</v>
      </c>
      <c r="E24" s="299">
        <v>64865.55</v>
      </c>
      <c r="F24" s="299">
        <v>61323.3</v>
      </c>
      <c r="G24" s="299">
        <v>61743.3</v>
      </c>
      <c r="H24" s="755">
        <f>62163.3</f>
        <v>62163.3</v>
      </c>
      <c r="I24" s="756">
        <f>63781.35</f>
        <v>63781.35</v>
      </c>
      <c r="J24" s="756">
        <f>62163.3</f>
        <v>62163.3</v>
      </c>
      <c r="K24" s="756">
        <f>61743.3</f>
        <v>61743.3</v>
      </c>
    </row>
    <row r="25" spans="1:12" ht="14.25">
      <c r="A25" s="294"/>
      <c r="B25" s="295" t="s">
        <v>322</v>
      </c>
      <c r="C25" s="296">
        <v>29983</v>
      </c>
      <c r="D25" s="296">
        <v>40274.410000000003</v>
      </c>
      <c r="E25" s="296">
        <v>40889.65</v>
      </c>
      <c r="F25" s="760">
        <v>0</v>
      </c>
      <c r="G25" s="760">
        <v>0</v>
      </c>
      <c r="H25" s="760">
        <f>0</f>
        <v>0</v>
      </c>
      <c r="I25" s="760">
        <f>0</f>
        <v>0</v>
      </c>
      <c r="J25" s="760">
        <f>0</f>
        <v>0</v>
      </c>
      <c r="K25" s="760">
        <f>0</f>
        <v>0</v>
      </c>
    </row>
    <row r="26" spans="1:12" ht="14.25">
      <c r="A26" s="297"/>
      <c r="B26" s="298" t="s">
        <v>323</v>
      </c>
      <c r="C26" s="299">
        <v>166109.93</v>
      </c>
      <c r="D26" s="299">
        <v>159337.85</v>
      </c>
      <c r="E26" s="299">
        <v>133292.4</v>
      </c>
      <c r="F26" s="299">
        <v>98795.58</v>
      </c>
      <c r="G26" s="299">
        <v>84712.5</v>
      </c>
      <c r="H26" s="755">
        <f>83746.63</f>
        <v>83746.63</v>
      </c>
      <c r="I26" s="756">
        <f>87254.68</f>
        <v>87254.68</v>
      </c>
      <c r="J26" s="756">
        <f>84881.95</f>
        <v>84881.95</v>
      </c>
      <c r="K26" s="756">
        <f>86052.49</f>
        <v>86052.49</v>
      </c>
    </row>
    <row r="27" spans="1:12" ht="14.25">
      <c r="A27" s="294"/>
      <c r="B27" s="295" t="s">
        <v>324</v>
      </c>
      <c r="C27" s="296">
        <v>12644.81</v>
      </c>
      <c r="D27" s="296">
        <v>8781.5</v>
      </c>
      <c r="E27" s="760">
        <v>0</v>
      </c>
      <c r="F27" s="760">
        <v>0</v>
      </c>
      <c r="G27" s="760">
        <v>0</v>
      </c>
      <c r="H27" s="760">
        <f>0</f>
        <v>0</v>
      </c>
      <c r="I27" s="760">
        <f>0</f>
        <v>0</v>
      </c>
      <c r="J27" s="760">
        <f>0</f>
        <v>0</v>
      </c>
      <c r="K27" s="760">
        <f>0</f>
        <v>0</v>
      </c>
    </row>
    <row r="28" spans="1:12" ht="14.25">
      <c r="A28" s="297"/>
      <c r="B28" s="298" t="s">
        <v>325</v>
      </c>
      <c r="C28" s="299">
        <v>56433.34</v>
      </c>
      <c r="D28" s="299">
        <v>57666.67</v>
      </c>
      <c r="E28" s="299">
        <v>54406.67</v>
      </c>
      <c r="F28" s="299">
        <v>34200</v>
      </c>
      <c r="G28" s="299">
        <v>34200</v>
      </c>
      <c r="H28" s="755">
        <f>22800</f>
        <v>22800</v>
      </c>
      <c r="I28" s="756">
        <f>22800</f>
        <v>22800</v>
      </c>
      <c r="J28" s="756">
        <f>22800</f>
        <v>22800</v>
      </c>
      <c r="K28" s="756">
        <f>22800</f>
        <v>22800</v>
      </c>
    </row>
    <row r="29" spans="1:12" ht="14.25">
      <c r="A29" s="294"/>
      <c r="B29" s="295" t="s">
        <v>326</v>
      </c>
      <c r="C29" s="296">
        <v>91577.11</v>
      </c>
      <c r="D29" s="296">
        <v>92440.78</v>
      </c>
      <c r="E29" s="296">
        <v>67269.919999999998</v>
      </c>
      <c r="F29" s="296">
        <v>89734.2</v>
      </c>
      <c r="G29" s="296">
        <v>89884.13</v>
      </c>
      <c r="H29" s="754">
        <f>86151.77</f>
        <v>86151.77</v>
      </c>
      <c r="I29" s="827">
        <f>87230.2</f>
        <v>87230.2</v>
      </c>
      <c r="J29" s="827">
        <f>87520.29</f>
        <v>87520.29</v>
      </c>
      <c r="K29" s="827">
        <f>103030.36</f>
        <v>103030.36</v>
      </c>
    </row>
    <row r="30" spans="1:12" ht="14.25">
      <c r="A30" s="294"/>
      <c r="B30" s="744" t="s">
        <v>375</v>
      </c>
      <c r="C30" s="760">
        <f>0</f>
        <v>0</v>
      </c>
      <c r="D30" s="760">
        <f>0</f>
        <v>0</v>
      </c>
      <c r="E30" s="760">
        <f>0</f>
        <v>0</v>
      </c>
      <c r="F30" s="760">
        <f>0</f>
        <v>0</v>
      </c>
      <c r="G30" s="760">
        <f>0</f>
        <v>0</v>
      </c>
      <c r="H30" s="754">
        <f>27500</f>
        <v>27500</v>
      </c>
      <c r="I30" s="827">
        <f>71644.67</f>
        <v>71644.67</v>
      </c>
      <c r="J30" s="827">
        <f>30209+28575</f>
        <v>58784</v>
      </c>
      <c r="K30" s="827">
        <f>28016+28833</f>
        <v>56849</v>
      </c>
    </row>
    <row r="31" spans="1:12" ht="14.25">
      <c r="A31" s="297"/>
      <c r="B31" s="298" t="s">
        <v>327</v>
      </c>
      <c r="C31" s="299">
        <v>60984.7</v>
      </c>
      <c r="D31" s="299">
        <v>78479.02</v>
      </c>
      <c r="E31" s="299">
        <v>73151.549999999988</v>
      </c>
      <c r="F31" s="299">
        <v>73137.100000000006</v>
      </c>
      <c r="G31" s="299">
        <v>73153.25</v>
      </c>
      <c r="H31" s="755">
        <f>60982.15</f>
        <v>60982.15</v>
      </c>
      <c r="I31" s="756">
        <f>11831.75+12143.05+12197.45+12163.45+12200+12195.75</f>
        <v>72731.45</v>
      </c>
      <c r="J31" s="756">
        <f>73036.59</f>
        <v>73036.59</v>
      </c>
      <c r="K31" s="756">
        <f>72924.43</f>
        <v>72924.429999999993</v>
      </c>
    </row>
    <row r="32" spans="1:12" ht="14.25">
      <c r="A32" s="294"/>
      <c r="B32" s="295" t="s">
        <v>328</v>
      </c>
      <c r="C32" s="296">
        <v>120579.93</v>
      </c>
      <c r="D32" s="296">
        <v>105838.45000000001</v>
      </c>
      <c r="E32" s="296">
        <v>103822.66</v>
      </c>
      <c r="F32" s="296">
        <v>31106.25</v>
      </c>
      <c r="G32" s="760">
        <f>0</f>
        <v>0</v>
      </c>
      <c r="H32" s="760">
        <f>0</f>
        <v>0</v>
      </c>
      <c r="I32" s="760">
        <f>0</f>
        <v>0</v>
      </c>
      <c r="J32" s="760">
        <f>0</f>
        <v>0</v>
      </c>
      <c r="K32" s="760">
        <f>0</f>
        <v>0</v>
      </c>
    </row>
    <row r="33" spans="1:11" ht="14.25">
      <c r="A33" s="297"/>
      <c r="B33" s="298" t="s">
        <v>329</v>
      </c>
      <c r="C33" s="299">
        <v>20110</v>
      </c>
      <c r="D33" s="299">
        <v>20110</v>
      </c>
      <c r="E33" s="299">
        <v>20110</v>
      </c>
      <c r="F33" s="299">
        <v>20110</v>
      </c>
      <c r="G33" s="299">
        <v>20110</v>
      </c>
      <c r="H33" s="755">
        <f>20110</f>
        <v>20110</v>
      </c>
      <c r="I33" s="756">
        <f>20110</f>
        <v>20110</v>
      </c>
      <c r="J33" s="756">
        <f>20110</f>
        <v>20110</v>
      </c>
      <c r="K33" s="756">
        <f>20110</f>
        <v>20110</v>
      </c>
    </row>
    <row r="34" spans="1:11" ht="14.25">
      <c r="A34" s="294"/>
      <c r="B34" s="295" t="s">
        <v>330</v>
      </c>
      <c r="C34" s="296">
        <v>31285.230000000003</v>
      </c>
      <c r="D34" s="296">
        <v>32111.75</v>
      </c>
      <c r="E34" s="296">
        <v>34491.57</v>
      </c>
      <c r="F34" s="296">
        <v>32658.57</v>
      </c>
      <c r="G34" s="296">
        <v>33649.72</v>
      </c>
      <c r="H34" s="754">
        <f>32414.46</f>
        <v>32414.46</v>
      </c>
      <c r="I34" s="759">
        <f>13731.12+19041.86</f>
        <v>32772.980000000003</v>
      </c>
      <c r="J34" s="1029">
        <f>12835.56</f>
        <v>12835.56</v>
      </c>
      <c r="K34" s="827">
        <f>13507.23</f>
        <v>13507.23</v>
      </c>
    </row>
    <row r="35" spans="1:11" ht="14.25">
      <c r="A35" s="297"/>
      <c r="B35" s="298" t="s">
        <v>331</v>
      </c>
      <c r="C35" s="299">
        <v>283482.87</v>
      </c>
      <c r="D35" s="299">
        <v>296942.69</v>
      </c>
      <c r="E35" s="299">
        <v>285150.8</v>
      </c>
      <c r="F35" s="299">
        <v>464276.56</v>
      </c>
      <c r="G35" s="299">
        <v>311625.8</v>
      </c>
      <c r="H35" s="755">
        <f>324907.19</f>
        <v>324907.19</v>
      </c>
      <c r="I35" s="826">
        <f>360946.28</f>
        <v>360946.28</v>
      </c>
      <c r="J35" s="756">
        <f>369822.47</f>
        <v>369822.47</v>
      </c>
      <c r="K35" s="835">
        <f>356544.54</f>
        <v>356544.54</v>
      </c>
    </row>
    <row r="36" spans="1:11" ht="14.25">
      <c r="A36" s="297"/>
      <c r="B36" s="275" t="s">
        <v>412</v>
      </c>
      <c r="C36" s="760">
        <f>0</f>
        <v>0</v>
      </c>
      <c r="D36" s="760">
        <f>0</f>
        <v>0</v>
      </c>
      <c r="E36" s="760">
        <f>0</f>
        <v>0</v>
      </c>
      <c r="F36" s="760">
        <f>0</f>
        <v>0</v>
      </c>
      <c r="G36" s="760">
        <f>0</f>
        <v>0</v>
      </c>
      <c r="H36" s="760">
        <f>0</f>
        <v>0</v>
      </c>
      <c r="I36" s="760">
        <f>0</f>
        <v>0</v>
      </c>
      <c r="J36" s="950">
        <f>21025</f>
        <v>21025</v>
      </c>
      <c r="K36" s="756">
        <f>21750</f>
        <v>21750</v>
      </c>
    </row>
    <row r="37" spans="1:11" ht="14.25">
      <c r="A37" s="294"/>
      <c r="B37" s="1033" t="s">
        <v>332</v>
      </c>
      <c r="C37" s="296">
        <v>45287.98</v>
      </c>
      <c r="D37" s="296">
        <v>83557.09</v>
      </c>
      <c r="E37" s="296">
        <v>48845.17</v>
      </c>
      <c r="F37" s="296">
        <v>45501.95</v>
      </c>
      <c r="G37" s="296">
        <v>43392.33</v>
      </c>
      <c r="H37" s="754">
        <f>47213.63</f>
        <v>47213.63</v>
      </c>
      <c r="I37" s="825">
        <f>35399.13</f>
        <v>35399.129999999997</v>
      </c>
      <c r="J37" s="827">
        <f>35226.14</f>
        <v>35226.14</v>
      </c>
      <c r="K37" s="827">
        <f>65159.62</f>
        <v>65159.62</v>
      </c>
    </row>
    <row r="38" spans="1:11" ht="14.25">
      <c r="A38" s="297"/>
      <c r="B38" s="275" t="s">
        <v>413</v>
      </c>
      <c r="C38" s="760">
        <f>0</f>
        <v>0</v>
      </c>
      <c r="D38" s="760">
        <f>0</f>
        <v>0</v>
      </c>
      <c r="E38" s="760">
        <f>0</f>
        <v>0</v>
      </c>
      <c r="F38" s="760">
        <f>0</f>
        <v>0</v>
      </c>
      <c r="G38" s="760">
        <f>0</f>
        <v>0</v>
      </c>
      <c r="H38" s="760">
        <f>0</f>
        <v>0</v>
      </c>
      <c r="I38" s="760">
        <f>0</f>
        <v>0</v>
      </c>
      <c r="J38" s="950">
        <f>16596.33</f>
        <v>16596.330000000002</v>
      </c>
      <c r="K38" s="835">
        <f>26000</f>
        <v>26000</v>
      </c>
    </row>
    <row r="39" spans="1:11" s="305" customFormat="1" ht="14.25">
      <c r="A39" s="306" t="s">
        <v>204</v>
      </c>
      <c r="B39" s="306"/>
      <c r="C39" s="307">
        <f t="shared" ref="C39:J39" si="0">SUM(C3:C38)</f>
        <v>4488172.2300000004</v>
      </c>
      <c r="D39" s="307">
        <f t="shared" si="0"/>
        <v>4629456.9600000009</v>
      </c>
      <c r="E39" s="307">
        <f t="shared" si="0"/>
        <v>4320584.7399999993</v>
      </c>
      <c r="F39" s="307">
        <f t="shared" si="0"/>
        <v>4098452.4000000004</v>
      </c>
      <c r="G39" s="307">
        <f t="shared" si="0"/>
        <v>3846896.9899999998</v>
      </c>
      <c r="H39" s="307">
        <f t="shared" si="0"/>
        <v>3811415.8199999994</v>
      </c>
      <c r="I39" s="1032">
        <f t="shared" si="0"/>
        <v>3880155.1800000006</v>
      </c>
      <c r="J39" s="833">
        <f t="shared" si="0"/>
        <v>3947588.18</v>
      </c>
      <c r="K39" s="833">
        <f t="shared" ref="K39" si="1">SUM(K3:K38)</f>
        <v>3891835.0800000005</v>
      </c>
    </row>
    <row r="40" spans="1:11" ht="14.25">
      <c r="A40" s="294" t="s">
        <v>118</v>
      </c>
      <c r="B40" s="295" t="s">
        <v>333</v>
      </c>
      <c r="C40" s="296">
        <v>17100</v>
      </c>
      <c r="D40" s="296">
        <v>16830</v>
      </c>
      <c r="E40" s="296">
        <v>16470</v>
      </c>
      <c r="F40" s="296">
        <v>16830</v>
      </c>
      <c r="G40" s="296">
        <v>16380</v>
      </c>
      <c r="H40" s="296">
        <f>17370</f>
        <v>17370</v>
      </c>
      <c r="I40" s="745">
        <f>17640</f>
        <v>17640</v>
      </c>
      <c r="J40" s="745">
        <f>17370</f>
        <v>17370</v>
      </c>
      <c r="K40" s="745">
        <f>16920</f>
        <v>16920</v>
      </c>
    </row>
    <row r="41" spans="1:11" ht="14.25">
      <c r="A41" s="297"/>
      <c r="B41" s="298" t="s">
        <v>305</v>
      </c>
      <c r="C41" s="299">
        <v>6650</v>
      </c>
      <c r="D41" s="299">
        <v>6650</v>
      </c>
      <c r="E41" s="299">
        <v>6930</v>
      </c>
      <c r="F41" s="299">
        <v>7210</v>
      </c>
      <c r="G41" s="299">
        <v>7280</v>
      </c>
      <c r="H41" s="299">
        <f>7210</f>
        <v>7210</v>
      </c>
      <c r="I41" s="757">
        <f>7000</f>
        <v>7000</v>
      </c>
      <c r="J41" s="757">
        <f>6860</f>
        <v>6860</v>
      </c>
      <c r="K41" s="757">
        <f>6790</f>
        <v>6790</v>
      </c>
    </row>
    <row r="42" spans="1:11" ht="14.25">
      <c r="A42" s="294"/>
      <c r="B42" s="295" t="s">
        <v>334</v>
      </c>
      <c r="C42" s="296">
        <v>9000</v>
      </c>
      <c r="D42" s="296">
        <v>9400</v>
      </c>
      <c r="E42" s="296">
        <v>9100</v>
      </c>
      <c r="F42" s="296">
        <v>8900</v>
      </c>
      <c r="G42" s="296">
        <v>9300</v>
      </c>
      <c r="H42" s="296">
        <v>9300</v>
      </c>
      <c r="I42" s="745">
        <f>8800</f>
        <v>8800</v>
      </c>
      <c r="J42" s="745">
        <f>8700</f>
        <v>8700</v>
      </c>
      <c r="K42" s="745">
        <f>8800</f>
        <v>8800</v>
      </c>
    </row>
    <row r="43" spans="1:11" ht="14.25">
      <c r="A43" s="297"/>
      <c r="B43" s="298" t="s">
        <v>335</v>
      </c>
      <c r="C43" s="299">
        <v>28135</v>
      </c>
      <c r="D43" s="299">
        <v>28900</v>
      </c>
      <c r="E43" s="299">
        <v>29835</v>
      </c>
      <c r="F43" s="299">
        <v>28815</v>
      </c>
      <c r="G43" s="299">
        <v>29495</v>
      </c>
      <c r="H43" s="299">
        <f>29155</f>
        <v>29155</v>
      </c>
      <c r="I43" s="757">
        <f>29240</f>
        <v>29240</v>
      </c>
      <c r="J43" s="757">
        <f>28985</f>
        <v>28985</v>
      </c>
      <c r="K43" s="757">
        <f>28475</f>
        <v>28475</v>
      </c>
    </row>
    <row r="44" spans="1:11" ht="14.25">
      <c r="A44" s="294"/>
      <c r="B44" s="295" t="s">
        <v>336</v>
      </c>
      <c r="C44" s="296">
        <v>11060</v>
      </c>
      <c r="D44" s="296">
        <v>10990</v>
      </c>
      <c r="E44" s="296">
        <v>10360</v>
      </c>
      <c r="F44" s="296">
        <v>10500</v>
      </c>
      <c r="G44" s="296">
        <v>10360</v>
      </c>
      <c r="H44" s="296">
        <f>11410</f>
        <v>11410</v>
      </c>
      <c r="I44" s="745">
        <f>11410</f>
        <v>11410</v>
      </c>
      <c r="J44" s="745">
        <f>11410</f>
        <v>11410</v>
      </c>
      <c r="K44" s="745">
        <f>11410</f>
        <v>11410</v>
      </c>
    </row>
    <row r="45" spans="1:11" ht="14.25">
      <c r="A45" s="297"/>
      <c r="B45" s="298" t="s">
        <v>337</v>
      </c>
      <c r="C45" s="299">
        <v>5600</v>
      </c>
      <c r="D45" s="299">
        <v>5600</v>
      </c>
      <c r="E45" s="299">
        <v>5600</v>
      </c>
      <c r="F45" s="299">
        <v>5600</v>
      </c>
      <c r="G45" s="299">
        <v>5600</v>
      </c>
      <c r="H45" s="299">
        <v>5600</v>
      </c>
      <c r="I45" s="757">
        <v>5600</v>
      </c>
      <c r="J45" s="757">
        <f>5600</f>
        <v>5600</v>
      </c>
      <c r="K45" s="757">
        <f>5600</f>
        <v>5600</v>
      </c>
    </row>
    <row r="46" spans="1:11" ht="14.25">
      <c r="A46" s="297"/>
      <c r="B46" s="856" t="s">
        <v>530</v>
      </c>
      <c r="C46" s="760">
        <f>0</f>
        <v>0</v>
      </c>
      <c r="D46" s="760">
        <f>0</f>
        <v>0</v>
      </c>
      <c r="E46" s="760">
        <f>0</f>
        <v>0</v>
      </c>
      <c r="F46" s="760">
        <f>0</f>
        <v>0</v>
      </c>
      <c r="G46" s="760">
        <f>0</f>
        <v>0</v>
      </c>
      <c r="H46" s="760">
        <f>0</f>
        <v>0</v>
      </c>
      <c r="I46" s="760">
        <f>0</f>
        <v>0</v>
      </c>
      <c r="J46" s="760">
        <f>0</f>
        <v>0</v>
      </c>
      <c r="K46" s="757">
        <f>9500</f>
        <v>9500</v>
      </c>
    </row>
    <row r="47" spans="1:11" s="305" customFormat="1" ht="14.25">
      <c r="A47" s="303" t="s">
        <v>205</v>
      </c>
      <c r="B47" s="303"/>
      <c r="C47" s="304">
        <f>SUM(C40:C46)</f>
        <v>77545</v>
      </c>
      <c r="D47" s="304">
        <f t="shared" ref="D47:I47" si="2">SUM(D40:D46)</f>
        <v>78370</v>
      </c>
      <c r="E47" s="304">
        <f t="shared" si="2"/>
        <v>78295</v>
      </c>
      <c r="F47" s="304">
        <f t="shared" si="2"/>
        <v>77855</v>
      </c>
      <c r="G47" s="304">
        <f t="shared" si="2"/>
        <v>78415</v>
      </c>
      <c r="H47" s="304">
        <f t="shared" si="2"/>
        <v>80045</v>
      </c>
      <c r="I47" s="304">
        <f t="shared" si="2"/>
        <v>79690</v>
      </c>
      <c r="J47" s="834">
        <f t="shared" ref="J47" si="3">SUM(J40:J46)</f>
        <v>78925</v>
      </c>
      <c r="K47" s="834">
        <f>SUM(K40:K46)</f>
        <v>87495</v>
      </c>
    </row>
    <row r="48" spans="1:11" ht="14.25">
      <c r="A48" s="297" t="s">
        <v>221</v>
      </c>
      <c r="B48" s="298" t="s">
        <v>322</v>
      </c>
      <c r="C48" s="299">
        <v>0</v>
      </c>
      <c r="D48" s="299">
        <v>0</v>
      </c>
      <c r="E48" s="299">
        <v>11400</v>
      </c>
      <c r="F48" s="299">
        <v>0</v>
      </c>
      <c r="G48" s="299">
        <v>0</v>
      </c>
      <c r="H48" s="299">
        <v>0</v>
      </c>
      <c r="I48" s="299">
        <v>0</v>
      </c>
      <c r="J48" s="757">
        <v>0</v>
      </c>
      <c r="K48" s="757">
        <v>0</v>
      </c>
    </row>
    <row r="49" spans="1:11" ht="14.25">
      <c r="A49" s="294"/>
      <c r="B49" s="295" t="s">
        <v>325</v>
      </c>
      <c r="C49" s="296">
        <v>0</v>
      </c>
      <c r="D49" s="296">
        <v>0</v>
      </c>
      <c r="E49" s="296">
        <v>12400</v>
      </c>
      <c r="F49" s="296">
        <v>0</v>
      </c>
      <c r="G49" s="296">
        <v>0</v>
      </c>
      <c r="H49" s="296">
        <v>0</v>
      </c>
      <c r="I49" s="296">
        <v>0</v>
      </c>
      <c r="J49" s="745">
        <v>0</v>
      </c>
      <c r="K49" s="745">
        <v>0</v>
      </c>
    </row>
    <row r="50" spans="1:11" ht="14.25">
      <c r="A50" s="297"/>
      <c r="B50" s="298" t="s">
        <v>328</v>
      </c>
      <c r="C50" s="299">
        <v>0</v>
      </c>
      <c r="D50" s="299">
        <v>0</v>
      </c>
      <c r="E50" s="299">
        <v>60380</v>
      </c>
      <c r="F50" s="299">
        <v>0</v>
      </c>
      <c r="G50" s="299">
        <v>0</v>
      </c>
      <c r="H50" s="299">
        <v>0</v>
      </c>
      <c r="I50" s="299">
        <v>0</v>
      </c>
      <c r="J50" s="757">
        <v>0</v>
      </c>
      <c r="K50" s="757">
        <v>0</v>
      </c>
    </row>
    <row r="51" spans="1:11" s="305" customFormat="1" ht="14.25">
      <c r="A51" s="303" t="s">
        <v>222</v>
      </c>
      <c r="B51" s="303"/>
      <c r="C51" s="304">
        <f t="shared" ref="C51:I51" si="4">SUM(C48:C50)</f>
        <v>0</v>
      </c>
      <c r="D51" s="304">
        <f t="shared" si="4"/>
        <v>0</v>
      </c>
      <c r="E51" s="304">
        <f t="shared" si="4"/>
        <v>84180</v>
      </c>
      <c r="F51" s="304">
        <f t="shared" si="4"/>
        <v>0</v>
      </c>
      <c r="G51" s="304">
        <f t="shared" si="4"/>
        <v>0</v>
      </c>
      <c r="H51" s="304">
        <f t="shared" si="4"/>
        <v>0</v>
      </c>
      <c r="I51" s="304">
        <f t="shared" si="4"/>
        <v>0</v>
      </c>
      <c r="J51" s="1030">
        <f t="shared" ref="J51:K51" si="5">SUM(J48:J50)</f>
        <v>0</v>
      </c>
      <c r="K51" s="1030">
        <f t="shared" si="5"/>
        <v>0</v>
      </c>
    </row>
    <row r="52" spans="1:11" ht="14.25">
      <c r="A52" s="297" t="s">
        <v>12</v>
      </c>
      <c r="B52" s="298" t="s">
        <v>338</v>
      </c>
      <c r="C52" s="299">
        <v>0</v>
      </c>
      <c r="D52" s="299">
        <v>0</v>
      </c>
      <c r="E52" s="299">
        <v>28000</v>
      </c>
      <c r="F52" s="299">
        <v>0</v>
      </c>
      <c r="G52" s="299">
        <v>0</v>
      </c>
      <c r="H52" s="299">
        <v>0</v>
      </c>
      <c r="I52" s="299">
        <v>0</v>
      </c>
      <c r="J52" s="757">
        <v>0</v>
      </c>
      <c r="K52" s="757">
        <v>0</v>
      </c>
    </row>
    <row r="53" spans="1:11" s="333" customFormat="1" ht="14.25">
      <c r="A53" s="303" t="s">
        <v>339</v>
      </c>
      <c r="B53" s="303"/>
      <c r="C53" s="304">
        <f t="shared" ref="C53:I53" si="6">SUM(C52)</f>
        <v>0</v>
      </c>
      <c r="D53" s="304">
        <f t="shared" si="6"/>
        <v>0</v>
      </c>
      <c r="E53" s="304">
        <f t="shared" si="6"/>
        <v>28000</v>
      </c>
      <c r="F53" s="304">
        <f t="shared" si="6"/>
        <v>0</v>
      </c>
      <c r="G53" s="304">
        <f t="shared" si="6"/>
        <v>0</v>
      </c>
      <c r="H53" s="304">
        <f t="shared" si="6"/>
        <v>0</v>
      </c>
      <c r="I53" s="304">
        <f t="shared" si="6"/>
        <v>0</v>
      </c>
      <c r="J53" s="1030">
        <f t="shared" ref="J53:K53" si="7">SUM(J52)</f>
        <v>0</v>
      </c>
      <c r="K53" s="1030">
        <f t="shared" si="7"/>
        <v>0</v>
      </c>
    </row>
    <row r="54" spans="1:11" ht="14.25">
      <c r="A54" s="297" t="s">
        <v>216</v>
      </c>
      <c r="B54" s="298" t="s">
        <v>340</v>
      </c>
      <c r="C54" s="299">
        <v>11000</v>
      </c>
      <c r="D54" s="299">
        <v>11000</v>
      </c>
      <c r="E54" s="299">
        <v>11000</v>
      </c>
      <c r="F54" s="299">
        <v>11000</v>
      </c>
      <c r="G54" s="299">
        <v>11000</v>
      </c>
      <c r="H54" s="299">
        <v>11000</v>
      </c>
      <c r="I54" s="757">
        <v>11000</v>
      </c>
      <c r="J54" s="757">
        <v>11000</v>
      </c>
      <c r="K54" s="757">
        <v>11000</v>
      </c>
    </row>
    <row r="55" spans="1:11" s="305" customFormat="1" ht="14.25">
      <c r="A55" s="303" t="s">
        <v>219</v>
      </c>
      <c r="B55" s="303"/>
      <c r="C55" s="304">
        <f>SUM(C54)</f>
        <v>11000</v>
      </c>
      <c r="D55" s="304">
        <f>SUM(D54)</f>
        <v>11000</v>
      </c>
      <c r="E55" s="304">
        <f>SUM(E54)</f>
        <v>11000</v>
      </c>
      <c r="F55" s="304">
        <f>SUM(F54)</f>
        <v>11000</v>
      </c>
      <c r="G55" s="304">
        <f t="shared" ref="G55:I57" si="8">SUM(G54)</f>
        <v>11000</v>
      </c>
      <c r="H55" s="304">
        <f t="shared" si="8"/>
        <v>11000</v>
      </c>
      <c r="I55" s="304">
        <f t="shared" si="8"/>
        <v>11000</v>
      </c>
      <c r="J55" s="834">
        <f t="shared" ref="J55:K55" si="9">SUM(J54)</f>
        <v>11000</v>
      </c>
      <c r="K55" s="834">
        <f t="shared" si="9"/>
        <v>11000</v>
      </c>
    </row>
    <row r="56" spans="1:11" ht="14.25">
      <c r="A56" s="297" t="s">
        <v>343</v>
      </c>
      <c r="B56" s="298" t="s">
        <v>344</v>
      </c>
      <c r="C56" s="299">
        <v>0</v>
      </c>
      <c r="D56" s="299">
        <v>0</v>
      </c>
      <c r="E56" s="299">
        <v>0</v>
      </c>
      <c r="F56" s="299">
        <v>0</v>
      </c>
      <c r="G56" s="299">
        <v>332800</v>
      </c>
      <c r="H56" s="299">
        <f>0</f>
        <v>0</v>
      </c>
      <c r="I56" s="757">
        <f>0</f>
        <v>0</v>
      </c>
      <c r="J56" s="757">
        <f>0</f>
        <v>0</v>
      </c>
      <c r="K56" s="757">
        <f>0</f>
        <v>0</v>
      </c>
    </row>
    <row r="57" spans="1:11" s="305" customFormat="1" ht="14.25">
      <c r="A57" s="303" t="s">
        <v>219</v>
      </c>
      <c r="B57" s="303"/>
      <c r="C57" s="304">
        <f>SUM(C56)</f>
        <v>0</v>
      </c>
      <c r="D57" s="304">
        <f>SUM(D56)</f>
        <v>0</v>
      </c>
      <c r="E57" s="304">
        <f>SUM(E56)</f>
        <v>0</v>
      </c>
      <c r="F57" s="304">
        <f>SUM(F56)</f>
        <v>0</v>
      </c>
      <c r="G57" s="304">
        <f t="shared" si="8"/>
        <v>332800</v>
      </c>
      <c r="H57" s="304">
        <f t="shared" si="8"/>
        <v>0</v>
      </c>
      <c r="I57" s="304">
        <f t="shared" si="8"/>
        <v>0</v>
      </c>
      <c r="J57" s="1030">
        <f t="shared" ref="J57:K57" si="10">SUM(J56)</f>
        <v>0</v>
      </c>
      <c r="K57" s="1030">
        <f t="shared" si="10"/>
        <v>0</v>
      </c>
    </row>
    <row r="58" spans="1:11" s="302" customFormat="1" ht="14.25">
      <c r="A58" s="300"/>
      <c r="B58" s="300"/>
      <c r="C58" s="301"/>
      <c r="D58" s="301"/>
      <c r="E58" s="301"/>
      <c r="F58" s="301"/>
      <c r="G58" s="301"/>
      <c r="H58" s="301"/>
      <c r="I58" s="758"/>
      <c r="J58" s="836"/>
      <c r="K58" s="836"/>
    </row>
    <row r="59" spans="1:11" ht="14.25">
      <c r="A59" s="308"/>
      <c r="B59" s="308"/>
      <c r="C59" s="308">
        <f t="shared" ref="C59:H59" si="11">+C39+C47+C51+C53+C55+C57</f>
        <v>4576717.2300000004</v>
      </c>
      <c r="D59" s="308">
        <f t="shared" si="11"/>
        <v>4718826.9600000009</v>
      </c>
      <c r="E59" s="308">
        <f t="shared" si="11"/>
        <v>4522059.7399999993</v>
      </c>
      <c r="F59" s="308">
        <f t="shared" si="11"/>
        <v>4187307.4000000004</v>
      </c>
      <c r="G59" s="308">
        <f t="shared" si="11"/>
        <v>4269111.99</v>
      </c>
      <c r="H59" s="308">
        <f t="shared" si="11"/>
        <v>3902460.8199999994</v>
      </c>
      <c r="I59" s="828">
        <f>+I39+I47+I51+I53+I55+I57</f>
        <v>3970845.1800000006</v>
      </c>
      <c r="J59" s="308">
        <f>+J39+J47+J51+J53+J55+J57</f>
        <v>4037513.18</v>
      </c>
      <c r="K59" s="308">
        <f>+K39+K47+K51+K53+K55+K57</f>
        <v>3990330.0800000005</v>
      </c>
    </row>
    <row r="63" spans="1:11">
      <c r="H63" s="951" t="s">
        <v>430</v>
      </c>
    </row>
    <row r="64" spans="1:11">
      <c r="H64" t="s">
        <v>431</v>
      </c>
      <c r="J64" s="856">
        <v>278</v>
      </c>
    </row>
    <row r="65" spans="8:11">
      <c r="H65" t="s">
        <v>432</v>
      </c>
      <c r="J65" s="856">
        <v>3</v>
      </c>
    </row>
    <row r="66" spans="8:11">
      <c r="H66" t="s">
        <v>433</v>
      </c>
      <c r="J66" s="856">
        <v>6</v>
      </c>
    </row>
    <row r="67" spans="8:11">
      <c r="H67" t="s">
        <v>434</v>
      </c>
      <c r="J67" s="856">
        <v>4</v>
      </c>
    </row>
    <row r="68" spans="8:11">
      <c r="H68" t="s">
        <v>435</v>
      </c>
      <c r="J68" s="856">
        <v>4</v>
      </c>
      <c r="K68" s="852" t="s">
        <v>529</v>
      </c>
    </row>
    <row r="69" spans="8:11">
      <c r="H69" t="s">
        <v>436</v>
      </c>
      <c r="J69" s="856">
        <v>2</v>
      </c>
    </row>
    <row r="70" spans="8:11">
      <c r="H70" t="s">
        <v>437</v>
      </c>
      <c r="J70" s="856">
        <v>2</v>
      </c>
    </row>
    <row r="71" spans="8:11">
      <c r="H71" t="s">
        <v>412</v>
      </c>
      <c r="J71" s="856">
        <v>1</v>
      </c>
    </row>
    <row r="72" spans="8:11">
      <c r="J72" s="856">
        <v>256</v>
      </c>
    </row>
    <row r="73" spans="8:11">
      <c r="H73" t="s">
        <v>438</v>
      </c>
      <c r="J73" s="856">
        <v>4</v>
      </c>
    </row>
    <row r="74" spans="8:11">
      <c r="H74" t="s">
        <v>439</v>
      </c>
      <c r="J74" s="856">
        <v>1</v>
      </c>
    </row>
    <row r="75" spans="8:11">
      <c r="H75" s="856" t="s">
        <v>479</v>
      </c>
      <c r="J75" s="1031">
        <v>251</v>
      </c>
      <c r="K75" s="852" t="s">
        <v>94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63"/>
  <sheetViews>
    <sheetView zoomScale="95" zoomScaleNormal="95" workbookViewId="0">
      <pane xSplit="7" ySplit="6" topLeftCell="H7" activePane="bottomRight" state="frozen"/>
      <selection activeCell="A88" sqref="A88"/>
      <selection pane="topRight" activeCell="A88" sqref="A88"/>
      <selection pane="bottomLeft" activeCell="A88" sqref="A88"/>
      <selection pane="bottomRight" activeCell="G7" sqref="G7"/>
    </sheetView>
  </sheetViews>
  <sheetFormatPr defaultRowHeight="12.75"/>
  <cols>
    <col min="1" max="1" width="3.7109375" customWidth="1"/>
    <col min="2" max="2" width="11.7109375" style="335" customWidth="1"/>
    <col min="3" max="3" width="7.7109375" style="334" customWidth="1"/>
    <col min="4" max="4" width="10.140625" style="342" customWidth="1"/>
    <col min="5" max="5" width="24.7109375" customWidth="1"/>
    <col min="6" max="6" width="4.7109375" customWidth="1"/>
    <col min="7" max="7" width="14.7109375" customWidth="1"/>
    <col min="8" max="8" width="13.5703125" style="338" customWidth="1"/>
    <col min="9" max="9" width="12.7109375" style="338" customWidth="1"/>
    <col min="10" max="10" width="14.7109375" style="338" customWidth="1"/>
    <col min="11" max="11" width="11.28515625" style="341" customWidth="1"/>
    <col min="12" max="12" width="12.7109375" style="338" customWidth="1"/>
    <col min="13" max="13" width="5.42578125" style="338" customWidth="1"/>
    <col min="14" max="14" width="13.85546875" style="338" customWidth="1"/>
    <col min="15" max="15" width="13.5703125" style="338" customWidth="1"/>
    <col min="16" max="16" width="5.28515625" style="340" customWidth="1"/>
    <col min="17" max="17" width="6.7109375" style="340" customWidth="1"/>
    <col min="18" max="18" width="11.7109375" style="476" customWidth="1"/>
    <col min="19" max="19" width="5.28515625" style="577" customWidth="1"/>
    <col min="20" max="20" width="6.7109375" style="577" customWidth="1"/>
    <col min="21" max="21" width="13.5703125" style="338" customWidth="1"/>
    <col min="22" max="22" width="4.7109375" style="578" customWidth="1"/>
    <col min="23" max="23" width="10.5703125" style="336" customWidth="1"/>
    <col min="24" max="24" width="11.140625" customWidth="1"/>
    <col min="25" max="25" width="3.7109375" customWidth="1"/>
    <col min="26" max="26" width="8.7109375" customWidth="1"/>
    <col min="27" max="27" width="14.7109375" customWidth="1"/>
    <col min="28" max="28" width="39.5703125" customWidth="1"/>
    <col min="29" max="29" width="13.7109375" style="335" customWidth="1"/>
    <col min="30" max="30" width="7.7109375" style="334" customWidth="1"/>
    <col min="31" max="31" width="1.7109375" customWidth="1"/>
    <col min="257" max="257" width="3.7109375" customWidth="1"/>
    <col min="258" max="258" width="11.7109375" customWidth="1"/>
    <col min="259" max="259" width="7.7109375" customWidth="1"/>
    <col min="260" max="260" width="10.140625" customWidth="1"/>
    <col min="261" max="261" width="24.7109375" customWidth="1"/>
    <col min="262" max="262" width="4.7109375" customWidth="1"/>
    <col min="263" max="263" width="14.7109375" customWidth="1"/>
    <col min="264" max="265" width="12.7109375" customWidth="1"/>
    <col min="266" max="266" width="14.7109375" customWidth="1"/>
    <col min="267" max="278" width="0" hidden="1" customWidth="1"/>
    <col min="279" max="279" width="10.5703125" customWidth="1"/>
    <col min="280" max="280" width="11.140625" customWidth="1"/>
    <col min="281" max="281" width="3.7109375" customWidth="1"/>
    <col min="282" max="282" width="8.7109375" customWidth="1"/>
    <col min="283" max="283" width="14.7109375" customWidth="1"/>
    <col min="284" max="284" width="39.5703125" customWidth="1"/>
    <col min="285" max="285" width="13.7109375" customWidth="1"/>
    <col min="286" max="286" width="7.7109375" customWidth="1"/>
    <col min="287" max="287" width="1.7109375" customWidth="1"/>
    <col min="513" max="513" width="3.7109375" customWidth="1"/>
    <col min="514" max="514" width="11.7109375" customWidth="1"/>
    <col min="515" max="515" width="7.7109375" customWidth="1"/>
    <col min="516" max="516" width="10.140625" customWidth="1"/>
    <col min="517" max="517" width="24.7109375" customWidth="1"/>
    <col min="518" max="518" width="4.7109375" customWidth="1"/>
    <col min="519" max="519" width="14.7109375" customWidth="1"/>
    <col min="520" max="521" width="12.7109375" customWidth="1"/>
    <col min="522" max="522" width="14.7109375" customWidth="1"/>
    <col min="523" max="534" width="0" hidden="1" customWidth="1"/>
    <col min="535" max="535" width="10.5703125" customWidth="1"/>
    <col min="536" max="536" width="11.140625" customWidth="1"/>
    <col min="537" max="537" width="3.7109375" customWidth="1"/>
    <col min="538" max="538" width="8.7109375" customWidth="1"/>
    <col min="539" max="539" width="14.7109375" customWidth="1"/>
    <col min="540" max="540" width="39.5703125" customWidth="1"/>
    <col min="541" max="541" width="13.7109375" customWidth="1"/>
    <col min="542" max="542" width="7.7109375" customWidth="1"/>
    <col min="543" max="543" width="1.7109375" customWidth="1"/>
    <col min="769" max="769" width="3.7109375" customWidth="1"/>
    <col min="770" max="770" width="11.7109375" customWidth="1"/>
    <col min="771" max="771" width="7.7109375" customWidth="1"/>
    <col min="772" max="772" width="10.140625" customWidth="1"/>
    <col min="773" max="773" width="24.7109375" customWidth="1"/>
    <col min="774" max="774" width="4.7109375" customWidth="1"/>
    <col min="775" max="775" width="14.7109375" customWidth="1"/>
    <col min="776" max="777" width="12.7109375" customWidth="1"/>
    <col min="778" max="778" width="14.7109375" customWidth="1"/>
    <col min="779" max="790" width="0" hidden="1" customWidth="1"/>
    <col min="791" max="791" width="10.5703125" customWidth="1"/>
    <col min="792" max="792" width="11.140625" customWidth="1"/>
    <col min="793" max="793" width="3.7109375" customWidth="1"/>
    <col min="794" max="794" width="8.7109375" customWidth="1"/>
    <col min="795" max="795" width="14.7109375" customWidth="1"/>
    <col min="796" max="796" width="39.5703125" customWidth="1"/>
    <col min="797" max="797" width="13.7109375" customWidth="1"/>
    <col min="798" max="798" width="7.7109375" customWidth="1"/>
    <col min="799" max="799" width="1.7109375" customWidth="1"/>
    <col min="1025" max="1025" width="3.7109375" customWidth="1"/>
    <col min="1026" max="1026" width="11.7109375" customWidth="1"/>
    <col min="1027" max="1027" width="7.7109375" customWidth="1"/>
    <col min="1028" max="1028" width="10.140625" customWidth="1"/>
    <col min="1029" max="1029" width="24.7109375" customWidth="1"/>
    <col min="1030" max="1030" width="4.7109375" customWidth="1"/>
    <col min="1031" max="1031" width="14.7109375" customWidth="1"/>
    <col min="1032" max="1033" width="12.7109375" customWidth="1"/>
    <col min="1034" max="1034" width="14.7109375" customWidth="1"/>
    <col min="1035" max="1046" width="0" hidden="1" customWidth="1"/>
    <col min="1047" max="1047" width="10.5703125" customWidth="1"/>
    <col min="1048" max="1048" width="11.140625" customWidth="1"/>
    <col min="1049" max="1049" width="3.7109375" customWidth="1"/>
    <col min="1050" max="1050" width="8.7109375" customWidth="1"/>
    <col min="1051" max="1051" width="14.7109375" customWidth="1"/>
    <col min="1052" max="1052" width="39.5703125" customWidth="1"/>
    <col min="1053" max="1053" width="13.7109375" customWidth="1"/>
    <col min="1054" max="1054" width="7.7109375" customWidth="1"/>
    <col min="1055" max="1055" width="1.7109375" customWidth="1"/>
    <col min="1281" max="1281" width="3.7109375" customWidth="1"/>
    <col min="1282" max="1282" width="11.7109375" customWidth="1"/>
    <col min="1283" max="1283" width="7.7109375" customWidth="1"/>
    <col min="1284" max="1284" width="10.140625" customWidth="1"/>
    <col min="1285" max="1285" width="24.7109375" customWidth="1"/>
    <col min="1286" max="1286" width="4.7109375" customWidth="1"/>
    <col min="1287" max="1287" width="14.7109375" customWidth="1"/>
    <col min="1288" max="1289" width="12.7109375" customWidth="1"/>
    <col min="1290" max="1290" width="14.7109375" customWidth="1"/>
    <col min="1291" max="1302" width="0" hidden="1" customWidth="1"/>
    <col min="1303" max="1303" width="10.5703125" customWidth="1"/>
    <col min="1304" max="1304" width="11.140625" customWidth="1"/>
    <col min="1305" max="1305" width="3.7109375" customWidth="1"/>
    <col min="1306" max="1306" width="8.7109375" customWidth="1"/>
    <col min="1307" max="1307" width="14.7109375" customWidth="1"/>
    <col min="1308" max="1308" width="39.5703125" customWidth="1"/>
    <col min="1309" max="1309" width="13.7109375" customWidth="1"/>
    <col min="1310" max="1310" width="7.7109375" customWidth="1"/>
    <col min="1311" max="1311" width="1.7109375" customWidth="1"/>
    <col min="1537" max="1537" width="3.7109375" customWidth="1"/>
    <col min="1538" max="1538" width="11.7109375" customWidth="1"/>
    <col min="1539" max="1539" width="7.7109375" customWidth="1"/>
    <col min="1540" max="1540" width="10.140625" customWidth="1"/>
    <col min="1541" max="1541" width="24.7109375" customWidth="1"/>
    <col min="1542" max="1542" width="4.7109375" customWidth="1"/>
    <col min="1543" max="1543" width="14.7109375" customWidth="1"/>
    <col min="1544" max="1545" width="12.7109375" customWidth="1"/>
    <col min="1546" max="1546" width="14.7109375" customWidth="1"/>
    <col min="1547" max="1558" width="0" hidden="1" customWidth="1"/>
    <col min="1559" max="1559" width="10.5703125" customWidth="1"/>
    <col min="1560" max="1560" width="11.140625" customWidth="1"/>
    <col min="1561" max="1561" width="3.7109375" customWidth="1"/>
    <col min="1562" max="1562" width="8.7109375" customWidth="1"/>
    <col min="1563" max="1563" width="14.7109375" customWidth="1"/>
    <col min="1564" max="1564" width="39.5703125" customWidth="1"/>
    <col min="1565" max="1565" width="13.7109375" customWidth="1"/>
    <col min="1566" max="1566" width="7.7109375" customWidth="1"/>
    <col min="1567" max="1567" width="1.7109375" customWidth="1"/>
    <col min="1793" max="1793" width="3.7109375" customWidth="1"/>
    <col min="1794" max="1794" width="11.7109375" customWidth="1"/>
    <col min="1795" max="1795" width="7.7109375" customWidth="1"/>
    <col min="1796" max="1796" width="10.140625" customWidth="1"/>
    <col min="1797" max="1797" width="24.7109375" customWidth="1"/>
    <col min="1798" max="1798" width="4.7109375" customWidth="1"/>
    <col min="1799" max="1799" width="14.7109375" customWidth="1"/>
    <col min="1800" max="1801" width="12.7109375" customWidth="1"/>
    <col min="1802" max="1802" width="14.7109375" customWidth="1"/>
    <col min="1803" max="1814" width="0" hidden="1" customWidth="1"/>
    <col min="1815" max="1815" width="10.5703125" customWidth="1"/>
    <col min="1816" max="1816" width="11.140625" customWidth="1"/>
    <col min="1817" max="1817" width="3.7109375" customWidth="1"/>
    <col min="1818" max="1818" width="8.7109375" customWidth="1"/>
    <col min="1819" max="1819" width="14.7109375" customWidth="1"/>
    <col min="1820" max="1820" width="39.5703125" customWidth="1"/>
    <col min="1821" max="1821" width="13.7109375" customWidth="1"/>
    <col min="1822" max="1822" width="7.7109375" customWidth="1"/>
    <col min="1823" max="1823" width="1.7109375" customWidth="1"/>
    <col min="2049" max="2049" width="3.7109375" customWidth="1"/>
    <col min="2050" max="2050" width="11.7109375" customWidth="1"/>
    <col min="2051" max="2051" width="7.7109375" customWidth="1"/>
    <col min="2052" max="2052" width="10.140625" customWidth="1"/>
    <col min="2053" max="2053" width="24.7109375" customWidth="1"/>
    <col min="2054" max="2054" width="4.7109375" customWidth="1"/>
    <col min="2055" max="2055" width="14.7109375" customWidth="1"/>
    <col min="2056" max="2057" width="12.7109375" customWidth="1"/>
    <col min="2058" max="2058" width="14.7109375" customWidth="1"/>
    <col min="2059" max="2070" width="0" hidden="1" customWidth="1"/>
    <col min="2071" max="2071" width="10.5703125" customWidth="1"/>
    <col min="2072" max="2072" width="11.140625" customWidth="1"/>
    <col min="2073" max="2073" width="3.7109375" customWidth="1"/>
    <col min="2074" max="2074" width="8.7109375" customWidth="1"/>
    <col min="2075" max="2075" width="14.7109375" customWidth="1"/>
    <col min="2076" max="2076" width="39.5703125" customWidth="1"/>
    <col min="2077" max="2077" width="13.7109375" customWidth="1"/>
    <col min="2078" max="2078" width="7.7109375" customWidth="1"/>
    <col min="2079" max="2079" width="1.7109375" customWidth="1"/>
    <col min="2305" max="2305" width="3.7109375" customWidth="1"/>
    <col min="2306" max="2306" width="11.7109375" customWidth="1"/>
    <col min="2307" max="2307" width="7.7109375" customWidth="1"/>
    <col min="2308" max="2308" width="10.140625" customWidth="1"/>
    <col min="2309" max="2309" width="24.7109375" customWidth="1"/>
    <col min="2310" max="2310" width="4.7109375" customWidth="1"/>
    <col min="2311" max="2311" width="14.7109375" customWidth="1"/>
    <col min="2312" max="2313" width="12.7109375" customWidth="1"/>
    <col min="2314" max="2314" width="14.7109375" customWidth="1"/>
    <col min="2315" max="2326" width="0" hidden="1" customWidth="1"/>
    <col min="2327" max="2327" width="10.5703125" customWidth="1"/>
    <col min="2328" max="2328" width="11.140625" customWidth="1"/>
    <col min="2329" max="2329" width="3.7109375" customWidth="1"/>
    <col min="2330" max="2330" width="8.7109375" customWidth="1"/>
    <col min="2331" max="2331" width="14.7109375" customWidth="1"/>
    <col min="2332" max="2332" width="39.5703125" customWidth="1"/>
    <col min="2333" max="2333" width="13.7109375" customWidth="1"/>
    <col min="2334" max="2334" width="7.7109375" customWidth="1"/>
    <col min="2335" max="2335" width="1.7109375" customWidth="1"/>
    <col min="2561" max="2561" width="3.7109375" customWidth="1"/>
    <col min="2562" max="2562" width="11.7109375" customWidth="1"/>
    <col min="2563" max="2563" width="7.7109375" customWidth="1"/>
    <col min="2564" max="2564" width="10.140625" customWidth="1"/>
    <col min="2565" max="2565" width="24.7109375" customWidth="1"/>
    <col min="2566" max="2566" width="4.7109375" customWidth="1"/>
    <col min="2567" max="2567" width="14.7109375" customWidth="1"/>
    <col min="2568" max="2569" width="12.7109375" customWidth="1"/>
    <col min="2570" max="2570" width="14.7109375" customWidth="1"/>
    <col min="2571" max="2582" width="0" hidden="1" customWidth="1"/>
    <col min="2583" max="2583" width="10.5703125" customWidth="1"/>
    <col min="2584" max="2584" width="11.140625" customWidth="1"/>
    <col min="2585" max="2585" width="3.7109375" customWidth="1"/>
    <col min="2586" max="2586" width="8.7109375" customWidth="1"/>
    <col min="2587" max="2587" width="14.7109375" customWidth="1"/>
    <col min="2588" max="2588" width="39.5703125" customWidth="1"/>
    <col min="2589" max="2589" width="13.7109375" customWidth="1"/>
    <col min="2590" max="2590" width="7.7109375" customWidth="1"/>
    <col min="2591" max="2591" width="1.7109375" customWidth="1"/>
    <col min="2817" max="2817" width="3.7109375" customWidth="1"/>
    <col min="2818" max="2818" width="11.7109375" customWidth="1"/>
    <col min="2819" max="2819" width="7.7109375" customWidth="1"/>
    <col min="2820" max="2820" width="10.140625" customWidth="1"/>
    <col min="2821" max="2821" width="24.7109375" customWidth="1"/>
    <col min="2822" max="2822" width="4.7109375" customWidth="1"/>
    <col min="2823" max="2823" width="14.7109375" customWidth="1"/>
    <col min="2824" max="2825" width="12.7109375" customWidth="1"/>
    <col min="2826" max="2826" width="14.7109375" customWidth="1"/>
    <col min="2827" max="2838" width="0" hidden="1" customWidth="1"/>
    <col min="2839" max="2839" width="10.5703125" customWidth="1"/>
    <col min="2840" max="2840" width="11.140625" customWidth="1"/>
    <col min="2841" max="2841" width="3.7109375" customWidth="1"/>
    <col min="2842" max="2842" width="8.7109375" customWidth="1"/>
    <col min="2843" max="2843" width="14.7109375" customWidth="1"/>
    <col min="2844" max="2844" width="39.5703125" customWidth="1"/>
    <col min="2845" max="2845" width="13.7109375" customWidth="1"/>
    <col min="2846" max="2846" width="7.7109375" customWidth="1"/>
    <col min="2847" max="2847" width="1.7109375" customWidth="1"/>
    <col min="3073" max="3073" width="3.7109375" customWidth="1"/>
    <col min="3074" max="3074" width="11.7109375" customWidth="1"/>
    <col min="3075" max="3075" width="7.7109375" customWidth="1"/>
    <col min="3076" max="3076" width="10.140625" customWidth="1"/>
    <col min="3077" max="3077" width="24.7109375" customWidth="1"/>
    <col min="3078" max="3078" width="4.7109375" customWidth="1"/>
    <col min="3079" max="3079" width="14.7109375" customWidth="1"/>
    <col min="3080" max="3081" width="12.7109375" customWidth="1"/>
    <col min="3082" max="3082" width="14.7109375" customWidth="1"/>
    <col min="3083" max="3094" width="0" hidden="1" customWidth="1"/>
    <col min="3095" max="3095" width="10.5703125" customWidth="1"/>
    <col min="3096" max="3096" width="11.140625" customWidth="1"/>
    <col min="3097" max="3097" width="3.7109375" customWidth="1"/>
    <col min="3098" max="3098" width="8.7109375" customWidth="1"/>
    <col min="3099" max="3099" width="14.7109375" customWidth="1"/>
    <col min="3100" max="3100" width="39.5703125" customWidth="1"/>
    <col min="3101" max="3101" width="13.7109375" customWidth="1"/>
    <col min="3102" max="3102" width="7.7109375" customWidth="1"/>
    <col min="3103" max="3103" width="1.7109375" customWidth="1"/>
    <col min="3329" max="3329" width="3.7109375" customWidth="1"/>
    <col min="3330" max="3330" width="11.7109375" customWidth="1"/>
    <col min="3331" max="3331" width="7.7109375" customWidth="1"/>
    <col min="3332" max="3332" width="10.140625" customWidth="1"/>
    <col min="3333" max="3333" width="24.7109375" customWidth="1"/>
    <col min="3334" max="3334" width="4.7109375" customWidth="1"/>
    <col min="3335" max="3335" width="14.7109375" customWidth="1"/>
    <col min="3336" max="3337" width="12.7109375" customWidth="1"/>
    <col min="3338" max="3338" width="14.7109375" customWidth="1"/>
    <col min="3339" max="3350" width="0" hidden="1" customWidth="1"/>
    <col min="3351" max="3351" width="10.5703125" customWidth="1"/>
    <col min="3352" max="3352" width="11.140625" customWidth="1"/>
    <col min="3353" max="3353" width="3.7109375" customWidth="1"/>
    <col min="3354" max="3354" width="8.7109375" customWidth="1"/>
    <col min="3355" max="3355" width="14.7109375" customWidth="1"/>
    <col min="3356" max="3356" width="39.5703125" customWidth="1"/>
    <col min="3357" max="3357" width="13.7109375" customWidth="1"/>
    <col min="3358" max="3358" width="7.7109375" customWidth="1"/>
    <col min="3359" max="3359" width="1.7109375" customWidth="1"/>
    <col min="3585" max="3585" width="3.7109375" customWidth="1"/>
    <col min="3586" max="3586" width="11.7109375" customWidth="1"/>
    <col min="3587" max="3587" width="7.7109375" customWidth="1"/>
    <col min="3588" max="3588" width="10.140625" customWidth="1"/>
    <col min="3589" max="3589" width="24.7109375" customWidth="1"/>
    <col min="3590" max="3590" width="4.7109375" customWidth="1"/>
    <col min="3591" max="3591" width="14.7109375" customWidth="1"/>
    <col min="3592" max="3593" width="12.7109375" customWidth="1"/>
    <col min="3594" max="3594" width="14.7109375" customWidth="1"/>
    <col min="3595" max="3606" width="0" hidden="1" customWidth="1"/>
    <col min="3607" max="3607" width="10.5703125" customWidth="1"/>
    <col min="3608" max="3608" width="11.140625" customWidth="1"/>
    <col min="3609" max="3609" width="3.7109375" customWidth="1"/>
    <col min="3610" max="3610" width="8.7109375" customWidth="1"/>
    <col min="3611" max="3611" width="14.7109375" customWidth="1"/>
    <col min="3612" max="3612" width="39.5703125" customWidth="1"/>
    <col min="3613" max="3613" width="13.7109375" customWidth="1"/>
    <col min="3614" max="3614" width="7.7109375" customWidth="1"/>
    <col min="3615" max="3615" width="1.7109375" customWidth="1"/>
    <col min="3841" max="3841" width="3.7109375" customWidth="1"/>
    <col min="3842" max="3842" width="11.7109375" customWidth="1"/>
    <col min="3843" max="3843" width="7.7109375" customWidth="1"/>
    <col min="3844" max="3844" width="10.140625" customWidth="1"/>
    <col min="3845" max="3845" width="24.7109375" customWidth="1"/>
    <col min="3846" max="3846" width="4.7109375" customWidth="1"/>
    <col min="3847" max="3847" width="14.7109375" customWidth="1"/>
    <col min="3848" max="3849" width="12.7109375" customWidth="1"/>
    <col min="3850" max="3850" width="14.7109375" customWidth="1"/>
    <col min="3851" max="3862" width="0" hidden="1" customWidth="1"/>
    <col min="3863" max="3863" width="10.5703125" customWidth="1"/>
    <col min="3864" max="3864" width="11.140625" customWidth="1"/>
    <col min="3865" max="3865" width="3.7109375" customWidth="1"/>
    <col min="3866" max="3866" width="8.7109375" customWidth="1"/>
    <col min="3867" max="3867" width="14.7109375" customWidth="1"/>
    <col min="3868" max="3868" width="39.5703125" customWidth="1"/>
    <col min="3869" max="3869" width="13.7109375" customWidth="1"/>
    <col min="3870" max="3870" width="7.7109375" customWidth="1"/>
    <col min="3871" max="3871" width="1.7109375" customWidth="1"/>
    <col min="4097" max="4097" width="3.7109375" customWidth="1"/>
    <col min="4098" max="4098" width="11.7109375" customWidth="1"/>
    <col min="4099" max="4099" width="7.7109375" customWidth="1"/>
    <col min="4100" max="4100" width="10.140625" customWidth="1"/>
    <col min="4101" max="4101" width="24.7109375" customWidth="1"/>
    <col min="4102" max="4102" width="4.7109375" customWidth="1"/>
    <col min="4103" max="4103" width="14.7109375" customWidth="1"/>
    <col min="4104" max="4105" width="12.7109375" customWidth="1"/>
    <col min="4106" max="4106" width="14.7109375" customWidth="1"/>
    <col min="4107" max="4118" width="0" hidden="1" customWidth="1"/>
    <col min="4119" max="4119" width="10.5703125" customWidth="1"/>
    <col min="4120" max="4120" width="11.140625" customWidth="1"/>
    <col min="4121" max="4121" width="3.7109375" customWidth="1"/>
    <col min="4122" max="4122" width="8.7109375" customWidth="1"/>
    <col min="4123" max="4123" width="14.7109375" customWidth="1"/>
    <col min="4124" max="4124" width="39.5703125" customWidth="1"/>
    <col min="4125" max="4125" width="13.7109375" customWidth="1"/>
    <col min="4126" max="4126" width="7.7109375" customWidth="1"/>
    <col min="4127" max="4127" width="1.7109375" customWidth="1"/>
    <col min="4353" max="4353" width="3.7109375" customWidth="1"/>
    <col min="4354" max="4354" width="11.7109375" customWidth="1"/>
    <col min="4355" max="4355" width="7.7109375" customWidth="1"/>
    <col min="4356" max="4356" width="10.140625" customWidth="1"/>
    <col min="4357" max="4357" width="24.7109375" customWidth="1"/>
    <col min="4358" max="4358" width="4.7109375" customWidth="1"/>
    <col min="4359" max="4359" width="14.7109375" customWidth="1"/>
    <col min="4360" max="4361" width="12.7109375" customWidth="1"/>
    <col min="4362" max="4362" width="14.7109375" customWidth="1"/>
    <col min="4363" max="4374" width="0" hidden="1" customWidth="1"/>
    <col min="4375" max="4375" width="10.5703125" customWidth="1"/>
    <col min="4376" max="4376" width="11.140625" customWidth="1"/>
    <col min="4377" max="4377" width="3.7109375" customWidth="1"/>
    <col min="4378" max="4378" width="8.7109375" customWidth="1"/>
    <col min="4379" max="4379" width="14.7109375" customWidth="1"/>
    <col min="4380" max="4380" width="39.5703125" customWidth="1"/>
    <col min="4381" max="4381" width="13.7109375" customWidth="1"/>
    <col min="4382" max="4382" width="7.7109375" customWidth="1"/>
    <col min="4383" max="4383" width="1.7109375" customWidth="1"/>
    <col min="4609" max="4609" width="3.7109375" customWidth="1"/>
    <col min="4610" max="4610" width="11.7109375" customWidth="1"/>
    <col min="4611" max="4611" width="7.7109375" customWidth="1"/>
    <col min="4612" max="4612" width="10.140625" customWidth="1"/>
    <col min="4613" max="4613" width="24.7109375" customWidth="1"/>
    <col min="4614" max="4614" width="4.7109375" customWidth="1"/>
    <col min="4615" max="4615" width="14.7109375" customWidth="1"/>
    <col min="4616" max="4617" width="12.7109375" customWidth="1"/>
    <col min="4618" max="4618" width="14.7109375" customWidth="1"/>
    <col min="4619" max="4630" width="0" hidden="1" customWidth="1"/>
    <col min="4631" max="4631" width="10.5703125" customWidth="1"/>
    <col min="4632" max="4632" width="11.140625" customWidth="1"/>
    <col min="4633" max="4633" width="3.7109375" customWidth="1"/>
    <col min="4634" max="4634" width="8.7109375" customWidth="1"/>
    <col min="4635" max="4635" width="14.7109375" customWidth="1"/>
    <col min="4636" max="4636" width="39.5703125" customWidth="1"/>
    <col min="4637" max="4637" width="13.7109375" customWidth="1"/>
    <col min="4638" max="4638" width="7.7109375" customWidth="1"/>
    <col min="4639" max="4639" width="1.7109375" customWidth="1"/>
    <col min="4865" max="4865" width="3.7109375" customWidth="1"/>
    <col min="4866" max="4866" width="11.7109375" customWidth="1"/>
    <col min="4867" max="4867" width="7.7109375" customWidth="1"/>
    <col min="4868" max="4868" width="10.140625" customWidth="1"/>
    <col min="4869" max="4869" width="24.7109375" customWidth="1"/>
    <col min="4870" max="4870" width="4.7109375" customWidth="1"/>
    <col min="4871" max="4871" width="14.7109375" customWidth="1"/>
    <col min="4872" max="4873" width="12.7109375" customWidth="1"/>
    <col min="4874" max="4874" width="14.7109375" customWidth="1"/>
    <col min="4875" max="4886" width="0" hidden="1" customWidth="1"/>
    <col min="4887" max="4887" width="10.5703125" customWidth="1"/>
    <col min="4888" max="4888" width="11.140625" customWidth="1"/>
    <col min="4889" max="4889" width="3.7109375" customWidth="1"/>
    <col min="4890" max="4890" width="8.7109375" customWidth="1"/>
    <col min="4891" max="4891" width="14.7109375" customWidth="1"/>
    <col min="4892" max="4892" width="39.5703125" customWidth="1"/>
    <col min="4893" max="4893" width="13.7109375" customWidth="1"/>
    <col min="4894" max="4894" width="7.7109375" customWidth="1"/>
    <col min="4895" max="4895" width="1.7109375" customWidth="1"/>
    <col min="5121" max="5121" width="3.7109375" customWidth="1"/>
    <col min="5122" max="5122" width="11.7109375" customWidth="1"/>
    <col min="5123" max="5123" width="7.7109375" customWidth="1"/>
    <col min="5124" max="5124" width="10.140625" customWidth="1"/>
    <col min="5125" max="5125" width="24.7109375" customWidth="1"/>
    <col min="5126" max="5126" width="4.7109375" customWidth="1"/>
    <col min="5127" max="5127" width="14.7109375" customWidth="1"/>
    <col min="5128" max="5129" width="12.7109375" customWidth="1"/>
    <col min="5130" max="5130" width="14.7109375" customWidth="1"/>
    <col min="5131" max="5142" width="0" hidden="1" customWidth="1"/>
    <col min="5143" max="5143" width="10.5703125" customWidth="1"/>
    <col min="5144" max="5144" width="11.140625" customWidth="1"/>
    <col min="5145" max="5145" width="3.7109375" customWidth="1"/>
    <col min="5146" max="5146" width="8.7109375" customWidth="1"/>
    <col min="5147" max="5147" width="14.7109375" customWidth="1"/>
    <col min="5148" max="5148" width="39.5703125" customWidth="1"/>
    <col min="5149" max="5149" width="13.7109375" customWidth="1"/>
    <col min="5150" max="5150" width="7.7109375" customWidth="1"/>
    <col min="5151" max="5151" width="1.7109375" customWidth="1"/>
    <col min="5377" max="5377" width="3.7109375" customWidth="1"/>
    <col min="5378" max="5378" width="11.7109375" customWidth="1"/>
    <col min="5379" max="5379" width="7.7109375" customWidth="1"/>
    <col min="5380" max="5380" width="10.140625" customWidth="1"/>
    <col min="5381" max="5381" width="24.7109375" customWidth="1"/>
    <col min="5382" max="5382" width="4.7109375" customWidth="1"/>
    <col min="5383" max="5383" width="14.7109375" customWidth="1"/>
    <col min="5384" max="5385" width="12.7109375" customWidth="1"/>
    <col min="5386" max="5386" width="14.7109375" customWidth="1"/>
    <col min="5387" max="5398" width="0" hidden="1" customWidth="1"/>
    <col min="5399" max="5399" width="10.5703125" customWidth="1"/>
    <col min="5400" max="5400" width="11.140625" customWidth="1"/>
    <col min="5401" max="5401" width="3.7109375" customWidth="1"/>
    <col min="5402" max="5402" width="8.7109375" customWidth="1"/>
    <col min="5403" max="5403" width="14.7109375" customWidth="1"/>
    <col min="5404" max="5404" width="39.5703125" customWidth="1"/>
    <col min="5405" max="5405" width="13.7109375" customWidth="1"/>
    <col min="5406" max="5406" width="7.7109375" customWidth="1"/>
    <col min="5407" max="5407" width="1.7109375" customWidth="1"/>
    <col min="5633" max="5633" width="3.7109375" customWidth="1"/>
    <col min="5634" max="5634" width="11.7109375" customWidth="1"/>
    <col min="5635" max="5635" width="7.7109375" customWidth="1"/>
    <col min="5636" max="5636" width="10.140625" customWidth="1"/>
    <col min="5637" max="5637" width="24.7109375" customWidth="1"/>
    <col min="5638" max="5638" width="4.7109375" customWidth="1"/>
    <col min="5639" max="5639" width="14.7109375" customWidth="1"/>
    <col min="5640" max="5641" width="12.7109375" customWidth="1"/>
    <col min="5642" max="5642" width="14.7109375" customWidth="1"/>
    <col min="5643" max="5654" width="0" hidden="1" customWidth="1"/>
    <col min="5655" max="5655" width="10.5703125" customWidth="1"/>
    <col min="5656" max="5656" width="11.140625" customWidth="1"/>
    <col min="5657" max="5657" width="3.7109375" customWidth="1"/>
    <col min="5658" max="5658" width="8.7109375" customWidth="1"/>
    <col min="5659" max="5659" width="14.7109375" customWidth="1"/>
    <col min="5660" max="5660" width="39.5703125" customWidth="1"/>
    <col min="5661" max="5661" width="13.7109375" customWidth="1"/>
    <col min="5662" max="5662" width="7.7109375" customWidth="1"/>
    <col min="5663" max="5663" width="1.7109375" customWidth="1"/>
    <col min="5889" max="5889" width="3.7109375" customWidth="1"/>
    <col min="5890" max="5890" width="11.7109375" customWidth="1"/>
    <col min="5891" max="5891" width="7.7109375" customWidth="1"/>
    <col min="5892" max="5892" width="10.140625" customWidth="1"/>
    <col min="5893" max="5893" width="24.7109375" customWidth="1"/>
    <col min="5894" max="5894" width="4.7109375" customWidth="1"/>
    <col min="5895" max="5895" width="14.7109375" customWidth="1"/>
    <col min="5896" max="5897" width="12.7109375" customWidth="1"/>
    <col min="5898" max="5898" width="14.7109375" customWidth="1"/>
    <col min="5899" max="5910" width="0" hidden="1" customWidth="1"/>
    <col min="5911" max="5911" width="10.5703125" customWidth="1"/>
    <col min="5912" max="5912" width="11.140625" customWidth="1"/>
    <col min="5913" max="5913" width="3.7109375" customWidth="1"/>
    <col min="5914" max="5914" width="8.7109375" customWidth="1"/>
    <col min="5915" max="5915" width="14.7109375" customWidth="1"/>
    <col min="5916" max="5916" width="39.5703125" customWidth="1"/>
    <col min="5917" max="5917" width="13.7109375" customWidth="1"/>
    <col min="5918" max="5918" width="7.7109375" customWidth="1"/>
    <col min="5919" max="5919" width="1.7109375" customWidth="1"/>
    <col min="6145" max="6145" width="3.7109375" customWidth="1"/>
    <col min="6146" max="6146" width="11.7109375" customWidth="1"/>
    <col min="6147" max="6147" width="7.7109375" customWidth="1"/>
    <col min="6148" max="6148" width="10.140625" customWidth="1"/>
    <col min="6149" max="6149" width="24.7109375" customWidth="1"/>
    <col min="6150" max="6150" width="4.7109375" customWidth="1"/>
    <col min="6151" max="6151" width="14.7109375" customWidth="1"/>
    <col min="6152" max="6153" width="12.7109375" customWidth="1"/>
    <col min="6154" max="6154" width="14.7109375" customWidth="1"/>
    <col min="6155" max="6166" width="0" hidden="1" customWidth="1"/>
    <col min="6167" max="6167" width="10.5703125" customWidth="1"/>
    <col min="6168" max="6168" width="11.140625" customWidth="1"/>
    <col min="6169" max="6169" width="3.7109375" customWidth="1"/>
    <col min="6170" max="6170" width="8.7109375" customWidth="1"/>
    <col min="6171" max="6171" width="14.7109375" customWidth="1"/>
    <col min="6172" max="6172" width="39.5703125" customWidth="1"/>
    <col min="6173" max="6173" width="13.7109375" customWidth="1"/>
    <col min="6174" max="6174" width="7.7109375" customWidth="1"/>
    <col min="6175" max="6175" width="1.7109375" customWidth="1"/>
    <col min="6401" max="6401" width="3.7109375" customWidth="1"/>
    <col min="6402" max="6402" width="11.7109375" customWidth="1"/>
    <col min="6403" max="6403" width="7.7109375" customWidth="1"/>
    <col min="6404" max="6404" width="10.140625" customWidth="1"/>
    <col min="6405" max="6405" width="24.7109375" customWidth="1"/>
    <col min="6406" max="6406" width="4.7109375" customWidth="1"/>
    <col min="6407" max="6407" width="14.7109375" customWidth="1"/>
    <col min="6408" max="6409" width="12.7109375" customWidth="1"/>
    <col min="6410" max="6410" width="14.7109375" customWidth="1"/>
    <col min="6411" max="6422" width="0" hidden="1" customWidth="1"/>
    <col min="6423" max="6423" width="10.5703125" customWidth="1"/>
    <col min="6424" max="6424" width="11.140625" customWidth="1"/>
    <col min="6425" max="6425" width="3.7109375" customWidth="1"/>
    <col min="6426" max="6426" width="8.7109375" customWidth="1"/>
    <col min="6427" max="6427" width="14.7109375" customWidth="1"/>
    <col min="6428" max="6428" width="39.5703125" customWidth="1"/>
    <col min="6429" max="6429" width="13.7109375" customWidth="1"/>
    <col min="6430" max="6430" width="7.7109375" customWidth="1"/>
    <col min="6431" max="6431" width="1.7109375" customWidth="1"/>
    <col min="6657" max="6657" width="3.7109375" customWidth="1"/>
    <col min="6658" max="6658" width="11.7109375" customWidth="1"/>
    <col min="6659" max="6659" width="7.7109375" customWidth="1"/>
    <col min="6660" max="6660" width="10.140625" customWidth="1"/>
    <col min="6661" max="6661" width="24.7109375" customWidth="1"/>
    <col min="6662" max="6662" width="4.7109375" customWidth="1"/>
    <col min="6663" max="6663" width="14.7109375" customWidth="1"/>
    <col min="6664" max="6665" width="12.7109375" customWidth="1"/>
    <col min="6666" max="6666" width="14.7109375" customWidth="1"/>
    <col min="6667" max="6678" width="0" hidden="1" customWidth="1"/>
    <col min="6679" max="6679" width="10.5703125" customWidth="1"/>
    <col min="6680" max="6680" width="11.140625" customWidth="1"/>
    <col min="6681" max="6681" width="3.7109375" customWidth="1"/>
    <col min="6682" max="6682" width="8.7109375" customWidth="1"/>
    <col min="6683" max="6683" width="14.7109375" customWidth="1"/>
    <col min="6684" max="6684" width="39.5703125" customWidth="1"/>
    <col min="6685" max="6685" width="13.7109375" customWidth="1"/>
    <col min="6686" max="6686" width="7.7109375" customWidth="1"/>
    <col min="6687" max="6687" width="1.7109375" customWidth="1"/>
    <col min="6913" max="6913" width="3.7109375" customWidth="1"/>
    <col min="6914" max="6914" width="11.7109375" customWidth="1"/>
    <col min="6915" max="6915" width="7.7109375" customWidth="1"/>
    <col min="6916" max="6916" width="10.140625" customWidth="1"/>
    <col min="6917" max="6917" width="24.7109375" customWidth="1"/>
    <col min="6918" max="6918" width="4.7109375" customWidth="1"/>
    <col min="6919" max="6919" width="14.7109375" customWidth="1"/>
    <col min="6920" max="6921" width="12.7109375" customWidth="1"/>
    <col min="6922" max="6922" width="14.7109375" customWidth="1"/>
    <col min="6923" max="6934" width="0" hidden="1" customWidth="1"/>
    <col min="6935" max="6935" width="10.5703125" customWidth="1"/>
    <col min="6936" max="6936" width="11.140625" customWidth="1"/>
    <col min="6937" max="6937" width="3.7109375" customWidth="1"/>
    <col min="6938" max="6938" width="8.7109375" customWidth="1"/>
    <col min="6939" max="6939" width="14.7109375" customWidth="1"/>
    <col min="6940" max="6940" width="39.5703125" customWidth="1"/>
    <col min="6941" max="6941" width="13.7109375" customWidth="1"/>
    <col min="6942" max="6942" width="7.7109375" customWidth="1"/>
    <col min="6943" max="6943" width="1.7109375" customWidth="1"/>
    <col min="7169" max="7169" width="3.7109375" customWidth="1"/>
    <col min="7170" max="7170" width="11.7109375" customWidth="1"/>
    <col min="7171" max="7171" width="7.7109375" customWidth="1"/>
    <col min="7172" max="7172" width="10.140625" customWidth="1"/>
    <col min="7173" max="7173" width="24.7109375" customWidth="1"/>
    <col min="7174" max="7174" width="4.7109375" customWidth="1"/>
    <col min="7175" max="7175" width="14.7109375" customWidth="1"/>
    <col min="7176" max="7177" width="12.7109375" customWidth="1"/>
    <col min="7178" max="7178" width="14.7109375" customWidth="1"/>
    <col min="7179" max="7190" width="0" hidden="1" customWidth="1"/>
    <col min="7191" max="7191" width="10.5703125" customWidth="1"/>
    <col min="7192" max="7192" width="11.140625" customWidth="1"/>
    <col min="7193" max="7193" width="3.7109375" customWidth="1"/>
    <col min="7194" max="7194" width="8.7109375" customWidth="1"/>
    <col min="7195" max="7195" width="14.7109375" customWidth="1"/>
    <col min="7196" max="7196" width="39.5703125" customWidth="1"/>
    <col min="7197" max="7197" width="13.7109375" customWidth="1"/>
    <col min="7198" max="7198" width="7.7109375" customWidth="1"/>
    <col min="7199" max="7199" width="1.7109375" customWidth="1"/>
    <col min="7425" max="7425" width="3.7109375" customWidth="1"/>
    <col min="7426" max="7426" width="11.7109375" customWidth="1"/>
    <col min="7427" max="7427" width="7.7109375" customWidth="1"/>
    <col min="7428" max="7428" width="10.140625" customWidth="1"/>
    <col min="7429" max="7429" width="24.7109375" customWidth="1"/>
    <col min="7430" max="7430" width="4.7109375" customWidth="1"/>
    <col min="7431" max="7431" width="14.7109375" customWidth="1"/>
    <col min="7432" max="7433" width="12.7109375" customWidth="1"/>
    <col min="7434" max="7434" width="14.7109375" customWidth="1"/>
    <col min="7435" max="7446" width="0" hidden="1" customWidth="1"/>
    <col min="7447" max="7447" width="10.5703125" customWidth="1"/>
    <col min="7448" max="7448" width="11.140625" customWidth="1"/>
    <col min="7449" max="7449" width="3.7109375" customWidth="1"/>
    <col min="7450" max="7450" width="8.7109375" customWidth="1"/>
    <col min="7451" max="7451" width="14.7109375" customWidth="1"/>
    <col min="7452" max="7452" width="39.5703125" customWidth="1"/>
    <col min="7453" max="7453" width="13.7109375" customWidth="1"/>
    <col min="7454" max="7454" width="7.7109375" customWidth="1"/>
    <col min="7455" max="7455" width="1.7109375" customWidth="1"/>
    <col min="7681" max="7681" width="3.7109375" customWidth="1"/>
    <col min="7682" max="7682" width="11.7109375" customWidth="1"/>
    <col min="7683" max="7683" width="7.7109375" customWidth="1"/>
    <col min="7684" max="7684" width="10.140625" customWidth="1"/>
    <col min="7685" max="7685" width="24.7109375" customWidth="1"/>
    <col min="7686" max="7686" width="4.7109375" customWidth="1"/>
    <col min="7687" max="7687" width="14.7109375" customWidth="1"/>
    <col min="7688" max="7689" width="12.7109375" customWidth="1"/>
    <col min="7690" max="7690" width="14.7109375" customWidth="1"/>
    <col min="7691" max="7702" width="0" hidden="1" customWidth="1"/>
    <col min="7703" max="7703" width="10.5703125" customWidth="1"/>
    <col min="7704" max="7704" width="11.140625" customWidth="1"/>
    <col min="7705" max="7705" width="3.7109375" customWidth="1"/>
    <col min="7706" max="7706" width="8.7109375" customWidth="1"/>
    <col min="7707" max="7707" width="14.7109375" customWidth="1"/>
    <col min="7708" max="7708" width="39.5703125" customWidth="1"/>
    <col min="7709" max="7709" width="13.7109375" customWidth="1"/>
    <col min="7710" max="7710" width="7.7109375" customWidth="1"/>
    <col min="7711" max="7711" width="1.7109375" customWidth="1"/>
    <col min="7937" max="7937" width="3.7109375" customWidth="1"/>
    <col min="7938" max="7938" width="11.7109375" customWidth="1"/>
    <col min="7939" max="7939" width="7.7109375" customWidth="1"/>
    <col min="7940" max="7940" width="10.140625" customWidth="1"/>
    <col min="7941" max="7941" width="24.7109375" customWidth="1"/>
    <col min="7942" max="7942" width="4.7109375" customWidth="1"/>
    <col min="7943" max="7943" width="14.7109375" customWidth="1"/>
    <col min="7944" max="7945" width="12.7109375" customWidth="1"/>
    <col min="7946" max="7946" width="14.7109375" customWidth="1"/>
    <col min="7947" max="7958" width="0" hidden="1" customWidth="1"/>
    <col min="7959" max="7959" width="10.5703125" customWidth="1"/>
    <col min="7960" max="7960" width="11.140625" customWidth="1"/>
    <col min="7961" max="7961" width="3.7109375" customWidth="1"/>
    <col min="7962" max="7962" width="8.7109375" customWidth="1"/>
    <col min="7963" max="7963" width="14.7109375" customWidth="1"/>
    <col min="7964" max="7964" width="39.5703125" customWidth="1"/>
    <col min="7965" max="7965" width="13.7109375" customWidth="1"/>
    <col min="7966" max="7966" width="7.7109375" customWidth="1"/>
    <col min="7967" max="7967" width="1.7109375" customWidth="1"/>
    <col min="8193" max="8193" width="3.7109375" customWidth="1"/>
    <col min="8194" max="8194" width="11.7109375" customWidth="1"/>
    <col min="8195" max="8195" width="7.7109375" customWidth="1"/>
    <col min="8196" max="8196" width="10.140625" customWidth="1"/>
    <col min="8197" max="8197" width="24.7109375" customWidth="1"/>
    <col min="8198" max="8198" width="4.7109375" customWidth="1"/>
    <col min="8199" max="8199" width="14.7109375" customWidth="1"/>
    <col min="8200" max="8201" width="12.7109375" customWidth="1"/>
    <col min="8202" max="8202" width="14.7109375" customWidth="1"/>
    <col min="8203" max="8214" width="0" hidden="1" customWidth="1"/>
    <col min="8215" max="8215" width="10.5703125" customWidth="1"/>
    <col min="8216" max="8216" width="11.140625" customWidth="1"/>
    <col min="8217" max="8217" width="3.7109375" customWidth="1"/>
    <col min="8218" max="8218" width="8.7109375" customWidth="1"/>
    <col min="8219" max="8219" width="14.7109375" customWidth="1"/>
    <col min="8220" max="8220" width="39.5703125" customWidth="1"/>
    <col min="8221" max="8221" width="13.7109375" customWidth="1"/>
    <col min="8222" max="8222" width="7.7109375" customWidth="1"/>
    <col min="8223" max="8223" width="1.7109375" customWidth="1"/>
    <col min="8449" max="8449" width="3.7109375" customWidth="1"/>
    <col min="8450" max="8450" width="11.7109375" customWidth="1"/>
    <col min="8451" max="8451" width="7.7109375" customWidth="1"/>
    <col min="8452" max="8452" width="10.140625" customWidth="1"/>
    <col min="8453" max="8453" width="24.7109375" customWidth="1"/>
    <col min="8454" max="8454" width="4.7109375" customWidth="1"/>
    <col min="8455" max="8455" width="14.7109375" customWidth="1"/>
    <col min="8456" max="8457" width="12.7109375" customWidth="1"/>
    <col min="8458" max="8458" width="14.7109375" customWidth="1"/>
    <col min="8459" max="8470" width="0" hidden="1" customWidth="1"/>
    <col min="8471" max="8471" width="10.5703125" customWidth="1"/>
    <col min="8472" max="8472" width="11.140625" customWidth="1"/>
    <col min="8473" max="8473" width="3.7109375" customWidth="1"/>
    <col min="8474" max="8474" width="8.7109375" customWidth="1"/>
    <col min="8475" max="8475" width="14.7109375" customWidth="1"/>
    <col min="8476" max="8476" width="39.5703125" customWidth="1"/>
    <col min="8477" max="8477" width="13.7109375" customWidth="1"/>
    <col min="8478" max="8478" width="7.7109375" customWidth="1"/>
    <col min="8479" max="8479" width="1.7109375" customWidth="1"/>
    <col min="8705" max="8705" width="3.7109375" customWidth="1"/>
    <col min="8706" max="8706" width="11.7109375" customWidth="1"/>
    <col min="8707" max="8707" width="7.7109375" customWidth="1"/>
    <col min="8708" max="8708" width="10.140625" customWidth="1"/>
    <col min="8709" max="8709" width="24.7109375" customWidth="1"/>
    <col min="8710" max="8710" width="4.7109375" customWidth="1"/>
    <col min="8711" max="8711" width="14.7109375" customWidth="1"/>
    <col min="8712" max="8713" width="12.7109375" customWidth="1"/>
    <col min="8714" max="8714" width="14.7109375" customWidth="1"/>
    <col min="8715" max="8726" width="0" hidden="1" customWidth="1"/>
    <col min="8727" max="8727" width="10.5703125" customWidth="1"/>
    <col min="8728" max="8728" width="11.140625" customWidth="1"/>
    <col min="8729" max="8729" width="3.7109375" customWidth="1"/>
    <col min="8730" max="8730" width="8.7109375" customWidth="1"/>
    <col min="8731" max="8731" width="14.7109375" customWidth="1"/>
    <col min="8732" max="8732" width="39.5703125" customWidth="1"/>
    <col min="8733" max="8733" width="13.7109375" customWidth="1"/>
    <col min="8734" max="8734" width="7.7109375" customWidth="1"/>
    <col min="8735" max="8735" width="1.7109375" customWidth="1"/>
    <col min="8961" max="8961" width="3.7109375" customWidth="1"/>
    <col min="8962" max="8962" width="11.7109375" customWidth="1"/>
    <col min="8963" max="8963" width="7.7109375" customWidth="1"/>
    <col min="8964" max="8964" width="10.140625" customWidth="1"/>
    <col min="8965" max="8965" width="24.7109375" customWidth="1"/>
    <col min="8966" max="8966" width="4.7109375" customWidth="1"/>
    <col min="8967" max="8967" width="14.7109375" customWidth="1"/>
    <col min="8968" max="8969" width="12.7109375" customWidth="1"/>
    <col min="8970" max="8970" width="14.7109375" customWidth="1"/>
    <col min="8971" max="8982" width="0" hidden="1" customWidth="1"/>
    <col min="8983" max="8983" width="10.5703125" customWidth="1"/>
    <col min="8984" max="8984" width="11.140625" customWidth="1"/>
    <col min="8985" max="8985" width="3.7109375" customWidth="1"/>
    <col min="8986" max="8986" width="8.7109375" customWidth="1"/>
    <col min="8987" max="8987" width="14.7109375" customWidth="1"/>
    <col min="8988" max="8988" width="39.5703125" customWidth="1"/>
    <col min="8989" max="8989" width="13.7109375" customWidth="1"/>
    <col min="8990" max="8990" width="7.7109375" customWidth="1"/>
    <col min="8991" max="8991" width="1.7109375" customWidth="1"/>
    <col min="9217" max="9217" width="3.7109375" customWidth="1"/>
    <col min="9218" max="9218" width="11.7109375" customWidth="1"/>
    <col min="9219" max="9219" width="7.7109375" customWidth="1"/>
    <col min="9220" max="9220" width="10.140625" customWidth="1"/>
    <col min="9221" max="9221" width="24.7109375" customWidth="1"/>
    <col min="9222" max="9222" width="4.7109375" customWidth="1"/>
    <col min="9223" max="9223" width="14.7109375" customWidth="1"/>
    <col min="9224" max="9225" width="12.7109375" customWidth="1"/>
    <col min="9226" max="9226" width="14.7109375" customWidth="1"/>
    <col min="9227" max="9238" width="0" hidden="1" customWidth="1"/>
    <col min="9239" max="9239" width="10.5703125" customWidth="1"/>
    <col min="9240" max="9240" width="11.140625" customWidth="1"/>
    <col min="9241" max="9241" width="3.7109375" customWidth="1"/>
    <col min="9242" max="9242" width="8.7109375" customWidth="1"/>
    <col min="9243" max="9243" width="14.7109375" customWidth="1"/>
    <col min="9244" max="9244" width="39.5703125" customWidth="1"/>
    <col min="9245" max="9245" width="13.7109375" customWidth="1"/>
    <col min="9246" max="9246" width="7.7109375" customWidth="1"/>
    <col min="9247" max="9247" width="1.7109375" customWidth="1"/>
    <col min="9473" max="9473" width="3.7109375" customWidth="1"/>
    <col min="9474" max="9474" width="11.7109375" customWidth="1"/>
    <col min="9475" max="9475" width="7.7109375" customWidth="1"/>
    <col min="9476" max="9476" width="10.140625" customWidth="1"/>
    <col min="9477" max="9477" width="24.7109375" customWidth="1"/>
    <col min="9478" max="9478" width="4.7109375" customWidth="1"/>
    <col min="9479" max="9479" width="14.7109375" customWidth="1"/>
    <col min="9480" max="9481" width="12.7109375" customWidth="1"/>
    <col min="9482" max="9482" width="14.7109375" customWidth="1"/>
    <col min="9483" max="9494" width="0" hidden="1" customWidth="1"/>
    <col min="9495" max="9495" width="10.5703125" customWidth="1"/>
    <col min="9496" max="9496" width="11.140625" customWidth="1"/>
    <col min="9497" max="9497" width="3.7109375" customWidth="1"/>
    <col min="9498" max="9498" width="8.7109375" customWidth="1"/>
    <col min="9499" max="9499" width="14.7109375" customWidth="1"/>
    <col min="9500" max="9500" width="39.5703125" customWidth="1"/>
    <col min="9501" max="9501" width="13.7109375" customWidth="1"/>
    <col min="9502" max="9502" width="7.7109375" customWidth="1"/>
    <col min="9503" max="9503" width="1.7109375" customWidth="1"/>
    <col min="9729" max="9729" width="3.7109375" customWidth="1"/>
    <col min="9730" max="9730" width="11.7109375" customWidth="1"/>
    <col min="9731" max="9731" width="7.7109375" customWidth="1"/>
    <col min="9732" max="9732" width="10.140625" customWidth="1"/>
    <col min="9733" max="9733" width="24.7109375" customWidth="1"/>
    <col min="9734" max="9734" width="4.7109375" customWidth="1"/>
    <col min="9735" max="9735" width="14.7109375" customWidth="1"/>
    <col min="9736" max="9737" width="12.7109375" customWidth="1"/>
    <col min="9738" max="9738" width="14.7109375" customWidth="1"/>
    <col min="9739" max="9750" width="0" hidden="1" customWidth="1"/>
    <col min="9751" max="9751" width="10.5703125" customWidth="1"/>
    <col min="9752" max="9752" width="11.140625" customWidth="1"/>
    <col min="9753" max="9753" width="3.7109375" customWidth="1"/>
    <col min="9754" max="9754" width="8.7109375" customWidth="1"/>
    <col min="9755" max="9755" width="14.7109375" customWidth="1"/>
    <col min="9756" max="9756" width="39.5703125" customWidth="1"/>
    <col min="9757" max="9757" width="13.7109375" customWidth="1"/>
    <col min="9758" max="9758" width="7.7109375" customWidth="1"/>
    <col min="9759" max="9759" width="1.7109375" customWidth="1"/>
    <col min="9985" max="9985" width="3.7109375" customWidth="1"/>
    <col min="9986" max="9986" width="11.7109375" customWidth="1"/>
    <col min="9987" max="9987" width="7.7109375" customWidth="1"/>
    <col min="9988" max="9988" width="10.140625" customWidth="1"/>
    <col min="9989" max="9989" width="24.7109375" customWidth="1"/>
    <col min="9990" max="9990" width="4.7109375" customWidth="1"/>
    <col min="9991" max="9991" width="14.7109375" customWidth="1"/>
    <col min="9992" max="9993" width="12.7109375" customWidth="1"/>
    <col min="9994" max="9994" width="14.7109375" customWidth="1"/>
    <col min="9995" max="10006" width="0" hidden="1" customWidth="1"/>
    <col min="10007" max="10007" width="10.5703125" customWidth="1"/>
    <col min="10008" max="10008" width="11.140625" customWidth="1"/>
    <col min="10009" max="10009" width="3.7109375" customWidth="1"/>
    <col min="10010" max="10010" width="8.7109375" customWidth="1"/>
    <col min="10011" max="10011" width="14.7109375" customWidth="1"/>
    <col min="10012" max="10012" width="39.5703125" customWidth="1"/>
    <col min="10013" max="10013" width="13.7109375" customWidth="1"/>
    <col min="10014" max="10014" width="7.7109375" customWidth="1"/>
    <col min="10015" max="10015" width="1.7109375" customWidth="1"/>
    <col min="10241" max="10241" width="3.7109375" customWidth="1"/>
    <col min="10242" max="10242" width="11.7109375" customWidth="1"/>
    <col min="10243" max="10243" width="7.7109375" customWidth="1"/>
    <col min="10244" max="10244" width="10.140625" customWidth="1"/>
    <col min="10245" max="10245" width="24.7109375" customWidth="1"/>
    <col min="10246" max="10246" width="4.7109375" customWidth="1"/>
    <col min="10247" max="10247" width="14.7109375" customWidth="1"/>
    <col min="10248" max="10249" width="12.7109375" customWidth="1"/>
    <col min="10250" max="10250" width="14.7109375" customWidth="1"/>
    <col min="10251" max="10262" width="0" hidden="1" customWidth="1"/>
    <col min="10263" max="10263" width="10.5703125" customWidth="1"/>
    <col min="10264" max="10264" width="11.140625" customWidth="1"/>
    <col min="10265" max="10265" width="3.7109375" customWidth="1"/>
    <col min="10266" max="10266" width="8.7109375" customWidth="1"/>
    <col min="10267" max="10267" width="14.7109375" customWidth="1"/>
    <col min="10268" max="10268" width="39.5703125" customWidth="1"/>
    <col min="10269" max="10269" width="13.7109375" customWidth="1"/>
    <col min="10270" max="10270" width="7.7109375" customWidth="1"/>
    <col min="10271" max="10271" width="1.7109375" customWidth="1"/>
    <col min="10497" max="10497" width="3.7109375" customWidth="1"/>
    <col min="10498" max="10498" width="11.7109375" customWidth="1"/>
    <col min="10499" max="10499" width="7.7109375" customWidth="1"/>
    <col min="10500" max="10500" width="10.140625" customWidth="1"/>
    <col min="10501" max="10501" width="24.7109375" customWidth="1"/>
    <col min="10502" max="10502" width="4.7109375" customWidth="1"/>
    <col min="10503" max="10503" width="14.7109375" customWidth="1"/>
    <col min="10504" max="10505" width="12.7109375" customWidth="1"/>
    <col min="10506" max="10506" width="14.7109375" customWidth="1"/>
    <col min="10507" max="10518" width="0" hidden="1" customWidth="1"/>
    <col min="10519" max="10519" width="10.5703125" customWidth="1"/>
    <col min="10520" max="10520" width="11.140625" customWidth="1"/>
    <col min="10521" max="10521" width="3.7109375" customWidth="1"/>
    <col min="10522" max="10522" width="8.7109375" customWidth="1"/>
    <col min="10523" max="10523" width="14.7109375" customWidth="1"/>
    <col min="10524" max="10524" width="39.5703125" customWidth="1"/>
    <col min="10525" max="10525" width="13.7109375" customWidth="1"/>
    <col min="10526" max="10526" width="7.7109375" customWidth="1"/>
    <col min="10527" max="10527" width="1.7109375" customWidth="1"/>
    <col min="10753" max="10753" width="3.7109375" customWidth="1"/>
    <col min="10754" max="10754" width="11.7109375" customWidth="1"/>
    <col min="10755" max="10755" width="7.7109375" customWidth="1"/>
    <col min="10756" max="10756" width="10.140625" customWidth="1"/>
    <col min="10757" max="10757" width="24.7109375" customWidth="1"/>
    <col min="10758" max="10758" width="4.7109375" customWidth="1"/>
    <col min="10759" max="10759" width="14.7109375" customWidth="1"/>
    <col min="10760" max="10761" width="12.7109375" customWidth="1"/>
    <col min="10762" max="10762" width="14.7109375" customWidth="1"/>
    <col min="10763" max="10774" width="0" hidden="1" customWidth="1"/>
    <col min="10775" max="10775" width="10.5703125" customWidth="1"/>
    <col min="10776" max="10776" width="11.140625" customWidth="1"/>
    <col min="10777" max="10777" width="3.7109375" customWidth="1"/>
    <col min="10778" max="10778" width="8.7109375" customWidth="1"/>
    <col min="10779" max="10779" width="14.7109375" customWidth="1"/>
    <col min="10780" max="10780" width="39.5703125" customWidth="1"/>
    <col min="10781" max="10781" width="13.7109375" customWidth="1"/>
    <col min="10782" max="10782" width="7.7109375" customWidth="1"/>
    <col min="10783" max="10783" width="1.7109375" customWidth="1"/>
    <col min="11009" max="11009" width="3.7109375" customWidth="1"/>
    <col min="11010" max="11010" width="11.7109375" customWidth="1"/>
    <col min="11011" max="11011" width="7.7109375" customWidth="1"/>
    <col min="11012" max="11012" width="10.140625" customWidth="1"/>
    <col min="11013" max="11013" width="24.7109375" customWidth="1"/>
    <col min="11014" max="11014" width="4.7109375" customWidth="1"/>
    <col min="11015" max="11015" width="14.7109375" customWidth="1"/>
    <col min="11016" max="11017" width="12.7109375" customWidth="1"/>
    <col min="11018" max="11018" width="14.7109375" customWidth="1"/>
    <col min="11019" max="11030" width="0" hidden="1" customWidth="1"/>
    <col min="11031" max="11031" width="10.5703125" customWidth="1"/>
    <col min="11032" max="11032" width="11.140625" customWidth="1"/>
    <col min="11033" max="11033" width="3.7109375" customWidth="1"/>
    <col min="11034" max="11034" width="8.7109375" customWidth="1"/>
    <col min="11035" max="11035" width="14.7109375" customWidth="1"/>
    <col min="11036" max="11036" width="39.5703125" customWidth="1"/>
    <col min="11037" max="11037" width="13.7109375" customWidth="1"/>
    <col min="11038" max="11038" width="7.7109375" customWidth="1"/>
    <col min="11039" max="11039" width="1.7109375" customWidth="1"/>
    <col min="11265" max="11265" width="3.7109375" customWidth="1"/>
    <col min="11266" max="11266" width="11.7109375" customWidth="1"/>
    <col min="11267" max="11267" width="7.7109375" customWidth="1"/>
    <col min="11268" max="11268" width="10.140625" customWidth="1"/>
    <col min="11269" max="11269" width="24.7109375" customWidth="1"/>
    <col min="11270" max="11270" width="4.7109375" customWidth="1"/>
    <col min="11271" max="11271" width="14.7109375" customWidth="1"/>
    <col min="11272" max="11273" width="12.7109375" customWidth="1"/>
    <col min="11274" max="11274" width="14.7109375" customWidth="1"/>
    <col min="11275" max="11286" width="0" hidden="1" customWidth="1"/>
    <col min="11287" max="11287" width="10.5703125" customWidth="1"/>
    <col min="11288" max="11288" width="11.140625" customWidth="1"/>
    <col min="11289" max="11289" width="3.7109375" customWidth="1"/>
    <col min="11290" max="11290" width="8.7109375" customWidth="1"/>
    <col min="11291" max="11291" width="14.7109375" customWidth="1"/>
    <col min="11292" max="11292" width="39.5703125" customWidth="1"/>
    <col min="11293" max="11293" width="13.7109375" customWidth="1"/>
    <col min="11294" max="11294" width="7.7109375" customWidth="1"/>
    <col min="11295" max="11295" width="1.7109375" customWidth="1"/>
    <col min="11521" max="11521" width="3.7109375" customWidth="1"/>
    <col min="11522" max="11522" width="11.7109375" customWidth="1"/>
    <col min="11523" max="11523" width="7.7109375" customWidth="1"/>
    <col min="11524" max="11524" width="10.140625" customWidth="1"/>
    <col min="11525" max="11525" width="24.7109375" customWidth="1"/>
    <col min="11526" max="11526" width="4.7109375" customWidth="1"/>
    <col min="11527" max="11527" width="14.7109375" customWidth="1"/>
    <col min="11528" max="11529" width="12.7109375" customWidth="1"/>
    <col min="11530" max="11530" width="14.7109375" customWidth="1"/>
    <col min="11531" max="11542" width="0" hidden="1" customWidth="1"/>
    <col min="11543" max="11543" width="10.5703125" customWidth="1"/>
    <col min="11544" max="11544" width="11.140625" customWidth="1"/>
    <col min="11545" max="11545" width="3.7109375" customWidth="1"/>
    <col min="11546" max="11546" width="8.7109375" customWidth="1"/>
    <col min="11547" max="11547" width="14.7109375" customWidth="1"/>
    <col min="11548" max="11548" width="39.5703125" customWidth="1"/>
    <col min="11549" max="11549" width="13.7109375" customWidth="1"/>
    <col min="11550" max="11550" width="7.7109375" customWidth="1"/>
    <col min="11551" max="11551" width="1.7109375" customWidth="1"/>
    <col min="11777" max="11777" width="3.7109375" customWidth="1"/>
    <col min="11778" max="11778" width="11.7109375" customWidth="1"/>
    <col min="11779" max="11779" width="7.7109375" customWidth="1"/>
    <col min="11780" max="11780" width="10.140625" customWidth="1"/>
    <col min="11781" max="11781" width="24.7109375" customWidth="1"/>
    <col min="11782" max="11782" width="4.7109375" customWidth="1"/>
    <col min="11783" max="11783" width="14.7109375" customWidth="1"/>
    <col min="11784" max="11785" width="12.7109375" customWidth="1"/>
    <col min="11786" max="11786" width="14.7109375" customWidth="1"/>
    <col min="11787" max="11798" width="0" hidden="1" customWidth="1"/>
    <col min="11799" max="11799" width="10.5703125" customWidth="1"/>
    <col min="11800" max="11800" width="11.140625" customWidth="1"/>
    <col min="11801" max="11801" width="3.7109375" customWidth="1"/>
    <col min="11802" max="11802" width="8.7109375" customWidth="1"/>
    <col min="11803" max="11803" width="14.7109375" customWidth="1"/>
    <col min="11804" max="11804" width="39.5703125" customWidth="1"/>
    <col min="11805" max="11805" width="13.7109375" customWidth="1"/>
    <col min="11806" max="11806" width="7.7109375" customWidth="1"/>
    <col min="11807" max="11807" width="1.7109375" customWidth="1"/>
    <col min="12033" max="12033" width="3.7109375" customWidth="1"/>
    <col min="12034" max="12034" width="11.7109375" customWidth="1"/>
    <col min="12035" max="12035" width="7.7109375" customWidth="1"/>
    <col min="12036" max="12036" width="10.140625" customWidth="1"/>
    <col min="12037" max="12037" width="24.7109375" customWidth="1"/>
    <col min="12038" max="12038" width="4.7109375" customWidth="1"/>
    <col min="12039" max="12039" width="14.7109375" customWidth="1"/>
    <col min="12040" max="12041" width="12.7109375" customWidth="1"/>
    <col min="12042" max="12042" width="14.7109375" customWidth="1"/>
    <col min="12043" max="12054" width="0" hidden="1" customWidth="1"/>
    <col min="12055" max="12055" width="10.5703125" customWidth="1"/>
    <col min="12056" max="12056" width="11.140625" customWidth="1"/>
    <col min="12057" max="12057" width="3.7109375" customWidth="1"/>
    <col min="12058" max="12058" width="8.7109375" customWidth="1"/>
    <col min="12059" max="12059" width="14.7109375" customWidth="1"/>
    <col min="12060" max="12060" width="39.5703125" customWidth="1"/>
    <col min="12061" max="12061" width="13.7109375" customWidth="1"/>
    <col min="12062" max="12062" width="7.7109375" customWidth="1"/>
    <col min="12063" max="12063" width="1.7109375" customWidth="1"/>
    <col min="12289" max="12289" width="3.7109375" customWidth="1"/>
    <col min="12290" max="12290" width="11.7109375" customWidth="1"/>
    <col min="12291" max="12291" width="7.7109375" customWidth="1"/>
    <col min="12292" max="12292" width="10.140625" customWidth="1"/>
    <col min="12293" max="12293" width="24.7109375" customWidth="1"/>
    <col min="12294" max="12294" width="4.7109375" customWidth="1"/>
    <col min="12295" max="12295" width="14.7109375" customWidth="1"/>
    <col min="12296" max="12297" width="12.7109375" customWidth="1"/>
    <col min="12298" max="12298" width="14.7109375" customWidth="1"/>
    <col min="12299" max="12310" width="0" hidden="1" customWidth="1"/>
    <col min="12311" max="12311" width="10.5703125" customWidth="1"/>
    <col min="12312" max="12312" width="11.140625" customWidth="1"/>
    <col min="12313" max="12313" width="3.7109375" customWidth="1"/>
    <col min="12314" max="12314" width="8.7109375" customWidth="1"/>
    <col min="12315" max="12315" width="14.7109375" customWidth="1"/>
    <col min="12316" max="12316" width="39.5703125" customWidth="1"/>
    <col min="12317" max="12317" width="13.7109375" customWidth="1"/>
    <col min="12318" max="12318" width="7.7109375" customWidth="1"/>
    <col min="12319" max="12319" width="1.7109375" customWidth="1"/>
    <col min="12545" max="12545" width="3.7109375" customWidth="1"/>
    <col min="12546" max="12546" width="11.7109375" customWidth="1"/>
    <col min="12547" max="12547" width="7.7109375" customWidth="1"/>
    <col min="12548" max="12548" width="10.140625" customWidth="1"/>
    <col min="12549" max="12549" width="24.7109375" customWidth="1"/>
    <col min="12550" max="12550" width="4.7109375" customWidth="1"/>
    <col min="12551" max="12551" width="14.7109375" customWidth="1"/>
    <col min="12552" max="12553" width="12.7109375" customWidth="1"/>
    <col min="12554" max="12554" width="14.7109375" customWidth="1"/>
    <col min="12555" max="12566" width="0" hidden="1" customWidth="1"/>
    <col min="12567" max="12567" width="10.5703125" customWidth="1"/>
    <col min="12568" max="12568" width="11.140625" customWidth="1"/>
    <col min="12569" max="12569" width="3.7109375" customWidth="1"/>
    <col min="12570" max="12570" width="8.7109375" customWidth="1"/>
    <col min="12571" max="12571" width="14.7109375" customWidth="1"/>
    <col min="12572" max="12572" width="39.5703125" customWidth="1"/>
    <col min="12573" max="12573" width="13.7109375" customWidth="1"/>
    <col min="12574" max="12574" width="7.7109375" customWidth="1"/>
    <col min="12575" max="12575" width="1.7109375" customWidth="1"/>
    <col min="12801" max="12801" width="3.7109375" customWidth="1"/>
    <col min="12802" max="12802" width="11.7109375" customWidth="1"/>
    <col min="12803" max="12803" width="7.7109375" customWidth="1"/>
    <col min="12804" max="12804" width="10.140625" customWidth="1"/>
    <col min="12805" max="12805" width="24.7109375" customWidth="1"/>
    <col min="12806" max="12806" width="4.7109375" customWidth="1"/>
    <col min="12807" max="12807" width="14.7109375" customWidth="1"/>
    <col min="12808" max="12809" width="12.7109375" customWidth="1"/>
    <col min="12810" max="12810" width="14.7109375" customWidth="1"/>
    <col min="12811" max="12822" width="0" hidden="1" customWidth="1"/>
    <col min="12823" max="12823" width="10.5703125" customWidth="1"/>
    <col min="12824" max="12824" width="11.140625" customWidth="1"/>
    <col min="12825" max="12825" width="3.7109375" customWidth="1"/>
    <col min="12826" max="12826" width="8.7109375" customWidth="1"/>
    <col min="12827" max="12827" width="14.7109375" customWidth="1"/>
    <col min="12828" max="12828" width="39.5703125" customWidth="1"/>
    <col min="12829" max="12829" width="13.7109375" customWidth="1"/>
    <col min="12830" max="12830" width="7.7109375" customWidth="1"/>
    <col min="12831" max="12831" width="1.7109375" customWidth="1"/>
    <col min="13057" max="13057" width="3.7109375" customWidth="1"/>
    <col min="13058" max="13058" width="11.7109375" customWidth="1"/>
    <col min="13059" max="13059" width="7.7109375" customWidth="1"/>
    <col min="13060" max="13060" width="10.140625" customWidth="1"/>
    <col min="13061" max="13061" width="24.7109375" customWidth="1"/>
    <col min="13062" max="13062" width="4.7109375" customWidth="1"/>
    <col min="13063" max="13063" width="14.7109375" customWidth="1"/>
    <col min="13064" max="13065" width="12.7109375" customWidth="1"/>
    <col min="13066" max="13066" width="14.7109375" customWidth="1"/>
    <col min="13067" max="13078" width="0" hidden="1" customWidth="1"/>
    <col min="13079" max="13079" width="10.5703125" customWidth="1"/>
    <col min="13080" max="13080" width="11.140625" customWidth="1"/>
    <col min="13081" max="13081" width="3.7109375" customWidth="1"/>
    <col min="13082" max="13082" width="8.7109375" customWidth="1"/>
    <col min="13083" max="13083" width="14.7109375" customWidth="1"/>
    <col min="13084" max="13084" width="39.5703125" customWidth="1"/>
    <col min="13085" max="13085" width="13.7109375" customWidth="1"/>
    <col min="13086" max="13086" width="7.7109375" customWidth="1"/>
    <col min="13087" max="13087" width="1.7109375" customWidth="1"/>
    <col min="13313" max="13313" width="3.7109375" customWidth="1"/>
    <col min="13314" max="13314" width="11.7109375" customWidth="1"/>
    <col min="13315" max="13315" width="7.7109375" customWidth="1"/>
    <col min="13316" max="13316" width="10.140625" customWidth="1"/>
    <col min="13317" max="13317" width="24.7109375" customWidth="1"/>
    <col min="13318" max="13318" width="4.7109375" customWidth="1"/>
    <col min="13319" max="13319" width="14.7109375" customWidth="1"/>
    <col min="13320" max="13321" width="12.7109375" customWidth="1"/>
    <col min="13322" max="13322" width="14.7109375" customWidth="1"/>
    <col min="13323" max="13334" width="0" hidden="1" customWidth="1"/>
    <col min="13335" max="13335" width="10.5703125" customWidth="1"/>
    <col min="13336" max="13336" width="11.140625" customWidth="1"/>
    <col min="13337" max="13337" width="3.7109375" customWidth="1"/>
    <col min="13338" max="13338" width="8.7109375" customWidth="1"/>
    <col min="13339" max="13339" width="14.7109375" customWidth="1"/>
    <col min="13340" max="13340" width="39.5703125" customWidth="1"/>
    <col min="13341" max="13341" width="13.7109375" customWidth="1"/>
    <col min="13342" max="13342" width="7.7109375" customWidth="1"/>
    <col min="13343" max="13343" width="1.7109375" customWidth="1"/>
    <col min="13569" max="13569" width="3.7109375" customWidth="1"/>
    <col min="13570" max="13570" width="11.7109375" customWidth="1"/>
    <col min="13571" max="13571" width="7.7109375" customWidth="1"/>
    <col min="13572" max="13572" width="10.140625" customWidth="1"/>
    <col min="13573" max="13573" width="24.7109375" customWidth="1"/>
    <col min="13574" max="13574" width="4.7109375" customWidth="1"/>
    <col min="13575" max="13575" width="14.7109375" customWidth="1"/>
    <col min="13576" max="13577" width="12.7109375" customWidth="1"/>
    <col min="13578" max="13578" width="14.7109375" customWidth="1"/>
    <col min="13579" max="13590" width="0" hidden="1" customWidth="1"/>
    <col min="13591" max="13591" width="10.5703125" customWidth="1"/>
    <col min="13592" max="13592" width="11.140625" customWidth="1"/>
    <col min="13593" max="13593" width="3.7109375" customWidth="1"/>
    <col min="13594" max="13594" width="8.7109375" customWidth="1"/>
    <col min="13595" max="13595" width="14.7109375" customWidth="1"/>
    <col min="13596" max="13596" width="39.5703125" customWidth="1"/>
    <col min="13597" max="13597" width="13.7109375" customWidth="1"/>
    <col min="13598" max="13598" width="7.7109375" customWidth="1"/>
    <col min="13599" max="13599" width="1.7109375" customWidth="1"/>
    <col min="13825" max="13825" width="3.7109375" customWidth="1"/>
    <col min="13826" max="13826" width="11.7109375" customWidth="1"/>
    <col min="13827" max="13827" width="7.7109375" customWidth="1"/>
    <col min="13828" max="13828" width="10.140625" customWidth="1"/>
    <col min="13829" max="13829" width="24.7109375" customWidth="1"/>
    <col min="13830" max="13830" width="4.7109375" customWidth="1"/>
    <col min="13831" max="13831" width="14.7109375" customWidth="1"/>
    <col min="13832" max="13833" width="12.7109375" customWidth="1"/>
    <col min="13834" max="13834" width="14.7109375" customWidth="1"/>
    <col min="13835" max="13846" width="0" hidden="1" customWidth="1"/>
    <col min="13847" max="13847" width="10.5703125" customWidth="1"/>
    <col min="13848" max="13848" width="11.140625" customWidth="1"/>
    <col min="13849" max="13849" width="3.7109375" customWidth="1"/>
    <col min="13850" max="13850" width="8.7109375" customWidth="1"/>
    <col min="13851" max="13851" width="14.7109375" customWidth="1"/>
    <col min="13852" max="13852" width="39.5703125" customWidth="1"/>
    <col min="13853" max="13853" width="13.7109375" customWidth="1"/>
    <col min="13854" max="13854" width="7.7109375" customWidth="1"/>
    <col min="13855" max="13855" width="1.7109375" customWidth="1"/>
    <col min="14081" max="14081" width="3.7109375" customWidth="1"/>
    <col min="14082" max="14082" width="11.7109375" customWidth="1"/>
    <col min="14083" max="14083" width="7.7109375" customWidth="1"/>
    <col min="14084" max="14084" width="10.140625" customWidth="1"/>
    <col min="14085" max="14085" width="24.7109375" customWidth="1"/>
    <col min="14086" max="14086" width="4.7109375" customWidth="1"/>
    <col min="14087" max="14087" width="14.7109375" customWidth="1"/>
    <col min="14088" max="14089" width="12.7109375" customWidth="1"/>
    <col min="14090" max="14090" width="14.7109375" customWidth="1"/>
    <col min="14091" max="14102" width="0" hidden="1" customWidth="1"/>
    <col min="14103" max="14103" width="10.5703125" customWidth="1"/>
    <col min="14104" max="14104" width="11.140625" customWidth="1"/>
    <col min="14105" max="14105" width="3.7109375" customWidth="1"/>
    <col min="14106" max="14106" width="8.7109375" customWidth="1"/>
    <col min="14107" max="14107" width="14.7109375" customWidth="1"/>
    <col min="14108" max="14108" width="39.5703125" customWidth="1"/>
    <col min="14109" max="14109" width="13.7109375" customWidth="1"/>
    <col min="14110" max="14110" width="7.7109375" customWidth="1"/>
    <col min="14111" max="14111" width="1.7109375" customWidth="1"/>
    <col min="14337" max="14337" width="3.7109375" customWidth="1"/>
    <col min="14338" max="14338" width="11.7109375" customWidth="1"/>
    <col min="14339" max="14339" width="7.7109375" customWidth="1"/>
    <col min="14340" max="14340" width="10.140625" customWidth="1"/>
    <col min="14341" max="14341" width="24.7109375" customWidth="1"/>
    <col min="14342" max="14342" width="4.7109375" customWidth="1"/>
    <col min="14343" max="14343" width="14.7109375" customWidth="1"/>
    <col min="14344" max="14345" width="12.7109375" customWidth="1"/>
    <col min="14346" max="14346" width="14.7109375" customWidth="1"/>
    <col min="14347" max="14358" width="0" hidden="1" customWidth="1"/>
    <col min="14359" max="14359" width="10.5703125" customWidth="1"/>
    <col min="14360" max="14360" width="11.140625" customWidth="1"/>
    <col min="14361" max="14361" width="3.7109375" customWidth="1"/>
    <col min="14362" max="14362" width="8.7109375" customWidth="1"/>
    <col min="14363" max="14363" width="14.7109375" customWidth="1"/>
    <col min="14364" max="14364" width="39.5703125" customWidth="1"/>
    <col min="14365" max="14365" width="13.7109375" customWidth="1"/>
    <col min="14366" max="14366" width="7.7109375" customWidth="1"/>
    <col min="14367" max="14367" width="1.7109375" customWidth="1"/>
    <col min="14593" max="14593" width="3.7109375" customWidth="1"/>
    <col min="14594" max="14594" width="11.7109375" customWidth="1"/>
    <col min="14595" max="14595" width="7.7109375" customWidth="1"/>
    <col min="14596" max="14596" width="10.140625" customWidth="1"/>
    <col min="14597" max="14597" width="24.7109375" customWidth="1"/>
    <col min="14598" max="14598" width="4.7109375" customWidth="1"/>
    <col min="14599" max="14599" width="14.7109375" customWidth="1"/>
    <col min="14600" max="14601" width="12.7109375" customWidth="1"/>
    <col min="14602" max="14602" width="14.7109375" customWidth="1"/>
    <col min="14603" max="14614" width="0" hidden="1" customWidth="1"/>
    <col min="14615" max="14615" width="10.5703125" customWidth="1"/>
    <col min="14616" max="14616" width="11.140625" customWidth="1"/>
    <col min="14617" max="14617" width="3.7109375" customWidth="1"/>
    <col min="14618" max="14618" width="8.7109375" customWidth="1"/>
    <col min="14619" max="14619" width="14.7109375" customWidth="1"/>
    <col min="14620" max="14620" width="39.5703125" customWidth="1"/>
    <col min="14621" max="14621" width="13.7109375" customWidth="1"/>
    <col min="14622" max="14622" width="7.7109375" customWidth="1"/>
    <col min="14623" max="14623" width="1.7109375" customWidth="1"/>
    <col min="14849" max="14849" width="3.7109375" customWidth="1"/>
    <col min="14850" max="14850" width="11.7109375" customWidth="1"/>
    <col min="14851" max="14851" width="7.7109375" customWidth="1"/>
    <col min="14852" max="14852" width="10.140625" customWidth="1"/>
    <col min="14853" max="14853" width="24.7109375" customWidth="1"/>
    <col min="14854" max="14854" width="4.7109375" customWidth="1"/>
    <col min="14855" max="14855" width="14.7109375" customWidth="1"/>
    <col min="14856" max="14857" width="12.7109375" customWidth="1"/>
    <col min="14858" max="14858" width="14.7109375" customWidth="1"/>
    <col min="14859" max="14870" width="0" hidden="1" customWidth="1"/>
    <col min="14871" max="14871" width="10.5703125" customWidth="1"/>
    <col min="14872" max="14872" width="11.140625" customWidth="1"/>
    <col min="14873" max="14873" width="3.7109375" customWidth="1"/>
    <col min="14874" max="14874" width="8.7109375" customWidth="1"/>
    <col min="14875" max="14875" width="14.7109375" customWidth="1"/>
    <col min="14876" max="14876" width="39.5703125" customWidth="1"/>
    <col min="14877" max="14877" width="13.7109375" customWidth="1"/>
    <col min="14878" max="14878" width="7.7109375" customWidth="1"/>
    <col min="14879" max="14879" width="1.7109375" customWidth="1"/>
    <col min="15105" max="15105" width="3.7109375" customWidth="1"/>
    <col min="15106" max="15106" width="11.7109375" customWidth="1"/>
    <col min="15107" max="15107" width="7.7109375" customWidth="1"/>
    <col min="15108" max="15108" width="10.140625" customWidth="1"/>
    <col min="15109" max="15109" width="24.7109375" customWidth="1"/>
    <col min="15110" max="15110" width="4.7109375" customWidth="1"/>
    <col min="15111" max="15111" width="14.7109375" customWidth="1"/>
    <col min="15112" max="15113" width="12.7109375" customWidth="1"/>
    <col min="15114" max="15114" width="14.7109375" customWidth="1"/>
    <col min="15115" max="15126" width="0" hidden="1" customWidth="1"/>
    <col min="15127" max="15127" width="10.5703125" customWidth="1"/>
    <col min="15128" max="15128" width="11.140625" customWidth="1"/>
    <col min="15129" max="15129" width="3.7109375" customWidth="1"/>
    <col min="15130" max="15130" width="8.7109375" customWidth="1"/>
    <col min="15131" max="15131" width="14.7109375" customWidth="1"/>
    <col min="15132" max="15132" width="39.5703125" customWidth="1"/>
    <col min="15133" max="15133" width="13.7109375" customWidth="1"/>
    <col min="15134" max="15134" width="7.7109375" customWidth="1"/>
    <col min="15135" max="15135" width="1.7109375" customWidth="1"/>
    <col min="15361" max="15361" width="3.7109375" customWidth="1"/>
    <col min="15362" max="15362" width="11.7109375" customWidth="1"/>
    <col min="15363" max="15363" width="7.7109375" customWidth="1"/>
    <col min="15364" max="15364" width="10.140625" customWidth="1"/>
    <col min="15365" max="15365" width="24.7109375" customWidth="1"/>
    <col min="15366" max="15366" width="4.7109375" customWidth="1"/>
    <col min="15367" max="15367" width="14.7109375" customWidth="1"/>
    <col min="15368" max="15369" width="12.7109375" customWidth="1"/>
    <col min="15370" max="15370" width="14.7109375" customWidth="1"/>
    <col min="15371" max="15382" width="0" hidden="1" customWidth="1"/>
    <col min="15383" max="15383" width="10.5703125" customWidth="1"/>
    <col min="15384" max="15384" width="11.140625" customWidth="1"/>
    <col min="15385" max="15385" width="3.7109375" customWidth="1"/>
    <col min="15386" max="15386" width="8.7109375" customWidth="1"/>
    <col min="15387" max="15387" width="14.7109375" customWidth="1"/>
    <col min="15388" max="15388" width="39.5703125" customWidth="1"/>
    <col min="15389" max="15389" width="13.7109375" customWidth="1"/>
    <col min="15390" max="15390" width="7.7109375" customWidth="1"/>
    <col min="15391" max="15391" width="1.7109375" customWidth="1"/>
    <col min="15617" max="15617" width="3.7109375" customWidth="1"/>
    <col min="15618" max="15618" width="11.7109375" customWidth="1"/>
    <col min="15619" max="15619" width="7.7109375" customWidth="1"/>
    <col min="15620" max="15620" width="10.140625" customWidth="1"/>
    <col min="15621" max="15621" width="24.7109375" customWidth="1"/>
    <col min="15622" max="15622" width="4.7109375" customWidth="1"/>
    <col min="15623" max="15623" width="14.7109375" customWidth="1"/>
    <col min="15624" max="15625" width="12.7109375" customWidth="1"/>
    <col min="15626" max="15626" width="14.7109375" customWidth="1"/>
    <col min="15627" max="15638" width="0" hidden="1" customWidth="1"/>
    <col min="15639" max="15639" width="10.5703125" customWidth="1"/>
    <col min="15640" max="15640" width="11.140625" customWidth="1"/>
    <col min="15641" max="15641" width="3.7109375" customWidth="1"/>
    <col min="15642" max="15642" width="8.7109375" customWidth="1"/>
    <col min="15643" max="15643" width="14.7109375" customWidth="1"/>
    <col min="15644" max="15644" width="39.5703125" customWidth="1"/>
    <col min="15645" max="15645" width="13.7109375" customWidth="1"/>
    <col min="15646" max="15646" width="7.7109375" customWidth="1"/>
    <col min="15647" max="15647" width="1.7109375" customWidth="1"/>
    <col min="15873" max="15873" width="3.7109375" customWidth="1"/>
    <col min="15874" max="15874" width="11.7109375" customWidth="1"/>
    <col min="15875" max="15875" width="7.7109375" customWidth="1"/>
    <col min="15876" max="15876" width="10.140625" customWidth="1"/>
    <col min="15877" max="15877" width="24.7109375" customWidth="1"/>
    <col min="15878" max="15878" width="4.7109375" customWidth="1"/>
    <col min="15879" max="15879" width="14.7109375" customWidth="1"/>
    <col min="15880" max="15881" width="12.7109375" customWidth="1"/>
    <col min="15882" max="15882" width="14.7109375" customWidth="1"/>
    <col min="15883" max="15894" width="0" hidden="1" customWidth="1"/>
    <col min="15895" max="15895" width="10.5703125" customWidth="1"/>
    <col min="15896" max="15896" width="11.140625" customWidth="1"/>
    <col min="15897" max="15897" width="3.7109375" customWidth="1"/>
    <col min="15898" max="15898" width="8.7109375" customWidth="1"/>
    <col min="15899" max="15899" width="14.7109375" customWidth="1"/>
    <col min="15900" max="15900" width="39.5703125" customWidth="1"/>
    <col min="15901" max="15901" width="13.7109375" customWidth="1"/>
    <col min="15902" max="15902" width="7.7109375" customWidth="1"/>
    <col min="15903" max="15903" width="1.7109375" customWidth="1"/>
    <col min="16129" max="16129" width="3.7109375" customWidth="1"/>
    <col min="16130" max="16130" width="11.7109375" customWidth="1"/>
    <col min="16131" max="16131" width="7.7109375" customWidth="1"/>
    <col min="16132" max="16132" width="10.140625" customWidth="1"/>
    <col min="16133" max="16133" width="24.7109375" customWidth="1"/>
    <col min="16134" max="16134" width="4.7109375" customWidth="1"/>
    <col min="16135" max="16135" width="14.7109375" customWidth="1"/>
    <col min="16136" max="16137" width="12.7109375" customWidth="1"/>
    <col min="16138" max="16138" width="14.7109375" customWidth="1"/>
    <col min="16139" max="16150" width="0" hidden="1" customWidth="1"/>
    <col min="16151" max="16151" width="10.5703125" customWidth="1"/>
    <col min="16152" max="16152" width="11.140625" customWidth="1"/>
    <col min="16153" max="16153" width="3.7109375" customWidth="1"/>
    <col min="16154" max="16154" width="8.7109375" customWidth="1"/>
    <col min="16155" max="16155" width="14.7109375" customWidth="1"/>
    <col min="16156" max="16156" width="39.5703125" customWidth="1"/>
    <col min="16157" max="16157" width="13.7109375" customWidth="1"/>
    <col min="16158" max="16158" width="7.7109375" customWidth="1"/>
    <col min="16159" max="16159" width="1.7109375" customWidth="1"/>
  </cols>
  <sheetData>
    <row r="2" spans="1:30" s="162" customFormat="1" ht="27.95" customHeight="1">
      <c r="B2" s="564" t="s">
        <v>482</v>
      </c>
      <c r="C2" s="565"/>
      <c r="D2" s="566"/>
      <c r="E2" s="567"/>
      <c r="F2" s="567"/>
      <c r="G2" s="567"/>
      <c r="H2" s="568"/>
      <c r="I2" s="568"/>
      <c r="J2" s="568"/>
      <c r="K2" s="569"/>
      <c r="L2" s="568"/>
      <c r="M2" s="568"/>
      <c r="N2" s="568"/>
      <c r="O2" s="568"/>
      <c r="P2" s="570"/>
      <c r="Q2" s="570"/>
      <c r="R2" s="571"/>
      <c r="S2" s="572"/>
      <c r="T2" s="572"/>
      <c r="U2" s="568"/>
      <c r="V2" s="573"/>
      <c r="W2" s="574"/>
      <c r="AC2" s="575"/>
      <c r="AD2" s="576"/>
    </row>
    <row r="3" spans="1:30" ht="20.25">
      <c r="B3" s="472" t="s">
        <v>280</v>
      </c>
      <c r="C3" s="471"/>
      <c r="D3" s="470"/>
      <c r="E3" s="469"/>
      <c r="F3" s="469"/>
      <c r="G3" s="469"/>
    </row>
    <row r="4" spans="1:30" ht="13.5" thickBot="1"/>
    <row r="5" spans="1:30">
      <c r="A5" s="550" t="s">
        <v>227</v>
      </c>
      <c r="B5" s="1066" t="s">
        <v>228</v>
      </c>
      <c r="C5" s="1067"/>
      <c r="D5" s="1067"/>
      <c r="E5" s="1068"/>
      <c r="F5" s="579" t="s">
        <v>229</v>
      </c>
      <c r="G5" s="580" t="s">
        <v>230</v>
      </c>
      <c r="H5" s="1069" t="s">
        <v>231</v>
      </c>
      <c r="I5" s="1070"/>
      <c r="J5" s="1071"/>
      <c r="K5" s="581" t="s">
        <v>277</v>
      </c>
      <c r="L5" s="1072" t="s">
        <v>281</v>
      </c>
      <c r="M5" s="1073"/>
      <c r="N5" s="1073"/>
      <c r="O5" s="1073"/>
      <c r="P5" s="1073"/>
      <c r="Q5" s="1073"/>
      <c r="R5" s="1073"/>
      <c r="S5" s="1073"/>
      <c r="T5" s="1073"/>
      <c r="U5" s="1074"/>
      <c r="V5" s="582"/>
      <c r="W5" s="583" t="s">
        <v>233</v>
      </c>
      <c r="X5" s="1075" t="s">
        <v>234</v>
      </c>
      <c r="Y5" s="1076"/>
      <c r="Z5" s="1077"/>
      <c r="AA5" s="584" t="s">
        <v>235</v>
      </c>
      <c r="AB5" s="585" t="s">
        <v>236</v>
      </c>
      <c r="AC5" s="1078" t="s">
        <v>237</v>
      </c>
      <c r="AD5" s="1079"/>
    </row>
    <row r="6" spans="1:30">
      <c r="A6" s="547"/>
      <c r="B6" s="586" t="s">
        <v>238</v>
      </c>
      <c r="C6" s="587"/>
      <c r="D6" s="588" t="s">
        <v>232</v>
      </c>
      <c r="E6" s="589" t="s">
        <v>240</v>
      </c>
      <c r="F6" s="590" t="s">
        <v>94</v>
      </c>
      <c r="G6" s="591"/>
      <c r="H6" s="592" t="s">
        <v>82</v>
      </c>
      <c r="I6" s="454" t="s">
        <v>241</v>
      </c>
      <c r="J6" s="450" t="s">
        <v>7</v>
      </c>
      <c r="K6" s="593" t="s">
        <v>282</v>
      </c>
      <c r="L6" s="454" t="s">
        <v>242</v>
      </c>
      <c r="M6" s="452" t="s">
        <v>243</v>
      </c>
      <c r="N6" s="447" t="s">
        <v>244</v>
      </c>
      <c r="O6" s="453" t="s">
        <v>245</v>
      </c>
      <c r="P6" s="452" t="s">
        <v>243</v>
      </c>
      <c r="Q6" s="451" t="s">
        <v>246</v>
      </c>
      <c r="R6" s="450" t="s">
        <v>283</v>
      </c>
      <c r="S6" s="449" t="s">
        <v>243</v>
      </c>
      <c r="T6" s="451" t="s">
        <v>246</v>
      </c>
      <c r="U6" s="447" t="s">
        <v>248</v>
      </c>
      <c r="V6" s="278" t="s">
        <v>249</v>
      </c>
      <c r="W6" s="594" t="s">
        <v>250</v>
      </c>
      <c r="X6" s="536" t="s">
        <v>251</v>
      </c>
      <c r="Y6" s="595" t="s">
        <v>252</v>
      </c>
      <c r="Z6" s="596" t="s">
        <v>238</v>
      </c>
      <c r="AA6" s="597" t="s">
        <v>253</v>
      </c>
      <c r="AB6" s="598"/>
      <c r="AC6" s="1080"/>
      <c r="AD6" s="1081"/>
    </row>
    <row r="7" spans="1:30">
      <c r="A7" s="599">
        <v>1</v>
      </c>
      <c r="B7" s="600" t="s">
        <v>481</v>
      </c>
      <c r="C7" s="601" t="s">
        <v>279</v>
      </c>
      <c r="D7" s="602">
        <v>42250</v>
      </c>
      <c r="E7" s="603" t="s">
        <v>284</v>
      </c>
      <c r="F7" s="621">
        <f>116</f>
        <v>116</v>
      </c>
      <c r="G7" s="605" t="s">
        <v>483</v>
      </c>
      <c r="H7" s="606">
        <v>1097640.46</v>
      </c>
      <c r="I7" s="607">
        <f t="shared" ref="I7:I13" si="0">H7*7/100</f>
        <v>76834.832200000004</v>
      </c>
      <c r="J7" s="608">
        <f t="shared" ref="J7:J13" si="1">H7+I7</f>
        <v>1174475.2922</v>
      </c>
      <c r="K7" s="609">
        <v>42258</v>
      </c>
      <c r="L7" s="610">
        <v>21289</v>
      </c>
      <c r="M7" s="612">
        <f>118</f>
        <v>118</v>
      </c>
      <c r="N7" s="645">
        <v>1014263.71</v>
      </c>
      <c r="O7" s="611">
        <v>1008623.96</v>
      </c>
      <c r="P7" s="612">
        <v>117</v>
      </c>
      <c r="Q7" s="613"/>
      <c r="R7" s="554">
        <v>5639.75</v>
      </c>
      <c r="S7" s="559">
        <v>1</v>
      </c>
      <c r="T7" s="613"/>
      <c r="U7" s="614">
        <f>SUM(O7+R7)</f>
        <v>1014263.71</v>
      </c>
      <c r="V7" s="552">
        <f t="shared" ref="V7:V13" si="2">N7-U7</f>
        <v>0</v>
      </c>
      <c r="W7" s="615">
        <v>42265</v>
      </c>
      <c r="X7" s="837">
        <f>(H7*3/100)+(H8*3/100)</f>
        <v>33055.811699999998</v>
      </c>
      <c r="Y7" s="837"/>
      <c r="Z7" s="838"/>
      <c r="AA7" s="967">
        <f>J7+J8-X7</f>
        <v>1145934.8056000001</v>
      </c>
      <c r="AB7" s="617" t="s">
        <v>484</v>
      </c>
      <c r="AC7" s="968" t="s">
        <v>285</v>
      </c>
      <c r="AD7" s="618">
        <v>150079</v>
      </c>
    </row>
    <row r="8" spans="1:30">
      <c r="A8" s="619">
        <v>2</v>
      </c>
      <c r="B8" s="600" t="s">
        <v>481</v>
      </c>
      <c r="C8" s="601" t="s">
        <v>286</v>
      </c>
      <c r="D8" s="620">
        <v>42250</v>
      </c>
      <c r="E8" s="603" t="s">
        <v>371</v>
      </c>
      <c r="F8" s="621">
        <f>2+1</f>
        <v>3</v>
      </c>
      <c r="G8" s="603" t="s">
        <v>379</v>
      </c>
      <c r="H8" s="606">
        <v>4219.93</v>
      </c>
      <c r="I8" s="622">
        <f t="shared" si="0"/>
        <v>295.39510000000001</v>
      </c>
      <c r="J8" s="623">
        <f t="shared" si="1"/>
        <v>4515.3251</v>
      </c>
      <c r="K8" s="441"/>
      <c r="L8" s="624"/>
      <c r="M8" s="559"/>
      <c r="N8" s="644"/>
      <c r="O8" s="625"/>
      <c r="P8" s="626"/>
      <c r="Q8" s="627"/>
      <c r="R8" s="560"/>
      <c r="S8" s="559"/>
      <c r="T8" s="627"/>
      <c r="U8" s="628"/>
      <c r="V8" s="558">
        <f t="shared" si="2"/>
        <v>0</v>
      </c>
      <c r="W8" s="439"/>
      <c r="X8" s="409"/>
      <c r="Y8" s="409"/>
      <c r="Z8" s="409"/>
      <c r="AA8" s="408"/>
      <c r="AB8" s="969" t="s">
        <v>485</v>
      </c>
      <c r="AC8" s="970" t="s">
        <v>285</v>
      </c>
      <c r="AD8" s="618">
        <v>150080</v>
      </c>
    </row>
    <row r="9" spans="1:30">
      <c r="A9" s="599">
        <v>3</v>
      </c>
      <c r="B9" s="600" t="s">
        <v>481</v>
      </c>
      <c r="C9" s="601" t="s">
        <v>287</v>
      </c>
      <c r="D9" s="620">
        <v>42258</v>
      </c>
      <c r="E9" s="603" t="s">
        <v>288</v>
      </c>
      <c r="F9" s="621">
        <v>4</v>
      </c>
      <c r="G9" s="630" t="s">
        <v>486</v>
      </c>
      <c r="H9" s="631">
        <v>28495.31</v>
      </c>
      <c r="I9" s="622">
        <f t="shared" si="0"/>
        <v>1994.6717000000001</v>
      </c>
      <c r="J9" s="623">
        <f t="shared" si="1"/>
        <v>30489.9817</v>
      </c>
      <c r="K9" s="417">
        <v>42262</v>
      </c>
      <c r="L9" s="632">
        <v>720</v>
      </c>
      <c r="M9" s="556">
        <v>4</v>
      </c>
      <c r="N9" s="765">
        <v>23958.75</v>
      </c>
      <c r="O9" s="633">
        <v>23958.75</v>
      </c>
      <c r="P9" s="634">
        <v>4</v>
      </c>
      <c r="Q9" s="635"/>
      <c r="R9" s="557">
        <v>0</v>
      </c>
      <c r="S9" s="556">
        <v>0</v>
      </c>
      <c r="T9" s="635"/>
      <c r="U9" s="636">
        <f>SUM(O9+R9)</f>
        <v>23958.75</v>
      </c>
      <c r="V9" s="555">
        <f t="shared" si="2"/>
        <v>0</v>
      </c>
      <c r="W9" s="615">
        <v>42277</v>
      </c>
      <c r="X9" s="497">
        <f>(H9*3/100)</f>
        <v>854.85930000000008</v>
      </c>
      <c r="Y9" s="497"/>
      <c r="Z9" s="497"/>
      <c r="AA9" s="616">
        <f>J9-X9</f>
        <v>29635.1224</v>
      </c>
      <c r="AB9" s="407" t="s">
        <v>487</v>
      </c>
      <c r="AC9" s="629" t="s">
        <v>285</v>
      </c>
      <c r="AD9" s="637">
        <v>150082</v>
      </c>
    </row>
    <row r="10" spans="1:30">
      <c r="A10" s="619">
        <v>4</v>
      </c>
      <c r="B10" s="600" t="s">
        <v>481</v>
      </c>
      <c r="C10" s="601" t="s">
        <v>289</v>
      </c>
      <c r="D10" s="620">
        <v>42265</v>
      </c>
      <c r="E10" s="603" t="s">
        <v>284</v>
      </c>
      <c r="F10" s="604">
        <v>113</v>
      </c>
      <c r="G10" s="605" t="s">
        <v>488</v>
      </c>
      <c r="H10" s="606">
        <v>1042749.42</v>
      </c>
      <c r="I10" s="607">
        <f t="shared" si="0"/>
        <v>72992.459400000007</v>
      </c>
      <c r="J10" s="608">
        <f t="shared" si="1"/>
        <v>1115741.8794</v>
      </c>
      <c r="K10" s="609">
        <v>42272</v>
      </c>
      <c r="L10" s="610">
        <v>20931</v>
      </c>
      <c r="M10" s="559">
        <v>117</v>
      </c>
      <c r="N10" s="645">
        <v>899785.2</v>
      </c>
      <c r="O10" s="611">
        <v>899784.52</v>
      </c>
      <c r="P10" s="612">
        <v>117</v>
      </c>
      <c r="Q10" s="613"/>
      <c r="R10" s="554">
        <v>0</v>
      </c>
      <c r="S10" s="559">
        <v>0</v>
      </c>
      <c r="T10" s="613"/>
      <c r="U10" s="614">
        <f>SUM(O10+R10)</f>
        <v>899784.52</v>
      </c>
      <c r="V10" s="552">
        <f t="shared" si="2"/>
        <v>0.67999999993480742</v>
      </c>
      <c r="W10" s="640">
        <v>42279</v>
      </c>
      <c r="X10" s="837">
        <f>(H10*3/100)+(H11*3/100)</f>
        <v>31352.038500000002</v>
      </c>
      <c r="Y10" s="837"/>
      <c r="Z10" s="838"/>
      <c r="AA10" s="837">
        <f>J10+J11-X10</f>
        <v>1086870.6680000001</v>
      </c>
      <c r="AB10" s="839" t="s">
        <v>489</v>
      </c>
      <c r="AC10" s="629" t="s">
        <v>285</v>
      </c>
      <c r="AD10" s="643"/>
    </row>
    <row r="11" spans="1:30">
      <c r="A11" s="599">
        <v>5</v>
      </c>
      <c r="B11" s="600" t="s">
        <v>481</v>
      </c>
      <c r="C11" s="601" t="s">
        <v>290</v>
      </c>
      <c r="D11" s="620">
        <v>42265</v>
      </c>
      <c r="E11" s="603" t="s">
        <v>371</v>
      </c>
      <c r="F11" s="604">
        <v>4</v>
      </c>
      <c r="G11" s="605" t="s">
        <v>483</v>
      </c>
      <c r="H11" s="631">
        <v>2318.5300000000002</v>
      </c>
      <c r="I11" s="622">
        <f t="shared" si="0"/>
        <v>162.2971</v>
      </c>
      <c r="J11" s="623">
        <f t="shared" si="1"/>
        <v>2480.8271000000004</v>
      </c>
      <c r="K11" s="417">
        <v>42272</v>
      </c>
      <c r="L11" s="624"/>
      <c r="M11" s="559"/>
      <c r="N11" s="644"/>
      <c r="O11" s="625"/>
      <c r="P11" s="626"/>
      <c r="Q11" s="627"/>
      <c r="R11" s="560"/>
      <c r="S11" s="559"/>
      <c r="T11" s="627"/>
      <c r="U11" s="628"/>
      <c r="V11" s="558">
        <f t="shared" si="2"/>
        <v>0</v>
      </c>
      <c r="W11" s="971"/>
      <c r="X11" s="409"/>
      <c r="Y11" s="409"/>
      <c r="Z11" s="409"/>
      <c r="AA11" s="409"/>
      <c r="AB11" s="965" t="s">
        <v>490</v>
      </c>
      <c r="AC11" s="629" t="s">
        <v>285</v>
      </c>
      <c r="AD11" s="643"/>
    </row>
    <row r="12" spans="1:30">
      <c r="A12" s="599">
        <v>6</v>
      </c>
      <c r="B12" s="600" t="s">
        <v>481</v>
      </c>
      <c r="C12" s="601" t="s">
        <v>291</v>
      </c>
      <c r="D12" s="620">
        <v>42268</v>
      </c>
      <c r="E12" s="638" t="s">
        <v>372</v>
      </c>
      <c r="F12" s="604">
        <v>11</v>
      </c>
      <c r="G12" s="639" t="s">
        <v>491</v>
      </c>
      <c r="H12" s="631">
        <v>3000</v>
      </c>
      <c r="I12" s="622">
        <f t="shared" si="0"/>
        <v>210</v>
      </c>
      <c r="J12" s="623">
        <f t="shared" si="1"/>
        <v>3210</v>
      </c>
      <c r="K12" s="417" t="s">
        <v>292</v>
      </c>
      <c r="L12" s="610"/>
      <c r="M12" s="556"/>
      <c r="N12" s="645"/>
      <c r="O12" s="611"/>
      <c r="P12" s="612"/>
      <c r="Q12" s="613"/>
      <c r="R12" s="554"/>
      <c r="S12" s="556"/>
      <c r="T12" s="613"/>
      <c r="U12" s="614">
        <v>0</v>
      </c>
      <c r="V12" s="555">
        <f t="shared" si="2"/>
        <v>0</v>
      </c>
      <c r="W12" s="640">
        <v>42292</v>
      </c>
      <c r="X12" s="497">
        <f>(H12*3/100)</f>
        <v>90</v>
      </c>
      <c r="Y12" s="641"/>
      <c r="Z12" s="642"/>
      <c r="AA12" s="497">
        <f>J12-X12</f>
        <v>3120</v>
      </c>
      <c r="AB12" s="515" t="s">
        <v>492</v>
      </c>
      <c r="AC12" s="629" t="s">
        <v>285</v>
      </c>
      <c r="AD12" s="643"/>
    </row>
    <row r="13" spans="1:30">
      <c r="A13" s="599">
        <v>7</v>
      </c>
      <c r="B13" s="600" t="s">
        <v>481</v>
      </c>
      <c r="C13" s="601" t="s">
        <v>293</v>
      </c>
      <c r="D13" s="620">
        <v>42268</v>
      </c>
      <c r="E13" s="603" t="s">
        <v>415</v>
      </c>
      <c r="F13" s="604">
        <v>14</v>
      </c>
      <c r="G13" s="630" t="s">
        <v>493</v>
      </c>
      <c r="H13" s="631">
        <v>192161.13</v>
      </c>
      <c r="I13" s="622">
        <f t="shared" si="0"/>
        <v>13451.279100000002</v>
      </c>
      <c r="J13" s="623">
        <f t="shared" si="1"/>
        <v>205612.40910000002</v>
      </c>
      <c r="K13" s="417">
        <v>42272</v>
      </c>
      <c r="L13" s="632">
        <v>4590</v>
      </c>
      <c r="M13" s="556">
        <v>14</v>
      </c>
      <c r="N13" s="765">
        <v>151673.75</v>
      </c>
      <c r="O13" s="633">
        <v>151673.75</v>
      </c>
      <c r="P13" s="634">
        <v>14</v>
      </c>
      <c r="Q13" s="635"/>
      <c r="R13" s="557"/>
      <c r="S13" s="556"/>
      <c r="T13" s="635"/>
      <c r="U13" s="636">
        <f>SUM(O13+R13)</f>
        <v>151673.75</v>
      </c>
      <c r="V13" s="555">
        <f t="shared" si="2"/>
        <v>0</v>
      </c>
      <c r="W13" s="615">
        <v>42275</v>
      </c>
      <c r="X13" s="497">
        <f>(H13*3/100)</f>
        <v>5764.8339000000005</v>
      </c>
      <c r="Y13" s="497"/>
      <c r="Z13" s="497"/>
      <c r="AA13" s="616">
        <f>J13-X13</f>
        <v>199847.57520000002</v>
      </c>
      <c r="AB13" s="407" t="s">
        <v>494</v>
      </c>
      <c r="AC13" s="629" t="s">
        <v>285</v>
      </c>
      <c r="AD13" s="643">
        <v>150081</v>
      </c>
    </row>
    <row r="14" spans="1:30">
      <c r="A14" s="599">
        <v>8</v>
      </c>
      <c r="B14" s="600" t="s">
        <v>481</v>
      </c>
      <c r="C14" s="601" t="s">
        <v>294</v>
      </c>
      <c r="D14" s="620">
        <v>42269</v>
      </c>
      <c r="E14" s="603" t="s">
        <v>295</v>
      </c>
      <c r="F14" s="604">
        <v>60</v>
      </c>
      <c r="G14" s="630" t="s">
        <v>495</v>
      </c>
      <c r="H14" s="631">
        <v>1065362.31</v>
      </c>
      <c r="I14" s="622">
        <f>H14*7/100</f>
        <v>74575.361699999994</v>
      </c>
      <c r="J14" s="623">
        <f>H14+I14</f>
        <v>1139937.6717000001</v>
      </c>
      <c r="K14" s="609">
        <v>42277</v>
      </c>
      <c r="L14" s="610">
        <v>21551</v>
      </c>
      <c r="M14" s="553">
        <v>60</v>
      </c>
      <c r="N14" s="645">
        <v>887011.1</v>
      </c>
      <c r="O14" s="633">
        <v>887011.39</v>
      </c>
      <c r="P14" s="634">
        <v>60</v>
      </c>
      <c r="Q14" s="635"/>
      <c r="R14" s="557"/>
      <c r="S14" s="556"/>
      <c r="T14" s="635"/>
      <c r="U14" s="636">
        <f>SUM(O14+R14)</f>
        <v>887011.39</v>
      </c>
      <c r="V14" s="555">
        <f>N14-U14</f>
        <v>-0.2900000000372529</v>
      </c>
      <c r="W14" s="615">
        <v>42277</v>
      </c>
      <c r="X14" s="497">
        <f>(H14*3/100)</f>
        <v>31960.869300000002</v>
      </c>
      <c r="Y14" s="497"/>
      <c r="Z14" s="497"/>
      <c r="AA14" s="616">
        <f>J14-X14</f>
        <v>1107976.8024000002</v>
      </c>
      <c r="AB14" s="433" t="s">
        <v>496</v>
      </c>
      <c r="AC14" s="629" t="s">
        <v>285</v>
      </c>
      <c r="AD14" s="643">
        <v>150083</v>
      </c>
    </row>
    <row r="15" spans="1:30">
      <c r="A15" s="599">
        <v>9</v>
      </c>
      <c r="B15" s="600" t="s">
        <v>481</v>
      </c>
      <c r="C15" s="601" t="s">
        <v>418</v>
      </c>
      <c r="D15" s="620">
        <v>42270</v>
      </c>
      <c r="E15" s="603" t="s">
        <v>288</v>
      </c>
      <c r="F15" s="604">
        <v>4</v>
      </c>
      <c r="G15" s="605" t="s">
        <v>497</v>
      </c>
      <c r="H15" s="631">
        <v>32065</v>
      </c>
      <c r="I15" s="622">
        <f>H15*7/100</f>
        <v>2244.5500000000002</v>
      </c>
      <c r="J15" s="623">
        <f>H15+I15</f>
        <v>34309.550000000003</v>
      </c>
      <c r="K15" s="417">
        <v>42277</v>
      </c>
      <c r="L15" s="610">
        <v>600</v>
      </c>
      <c r="M15" s="553">
        <v>4</v>
      </c>
      <c r="N15" s="645">
        <v>29560</v>
      </c>
      <c r="O15" s="633">
        <v>29560</v>
      </c>
      <c r="P15" s="634">
        <v>4</v>
      </c>
      <c r="Q15" s="635"/>
      <c r="R15" s="557"/>
      <c r="S15" s="556"/>
      <c r="T15" s="635"/>
      <c r="U15" s="636">
        <f>SUM(O15+R15)</f>
        <v>29560</v>
      </c>
      <c r="V15" s="555">
        <f>N15-U15</f>
        <v>0</v>
      </c>
      <c r="W15" s="516">
        <v>42292</v>
      </c>
      <c r="X15" s="497">
        <f>(H15*3/100)</f>
        <v>961.95</v>
      </c>
      <c r="Y15" s="497"/>
      <c r="Z15" s="497"/>
      <c r="AA15" s="497">
        <f>J15-X15</f>
        <v>33347.600000000006</v>
      </c>
      <c r="AB15" s="496" t="s">
        <v>380</v>
      </c>
      <c r="AC15" s="629" t="s">
        <v>285</v>
      </c>
      <c r="AD15" s="656"/>
    </row>
    <row r="16" spans="1:30" ht="13.5" thickBot="1">
      <c r="A16" s="646"/>
      <c r="B16" s="647"/>
      <c r="C16" s="648"/>
      <c r="D16" s="649"/>
      <c r="E16" s="650"/>
      <c r="F16" s="604"/>
      <c r="G16" s="651"/>
      <c r="H16" s="631"/>
      <c r="I16" s="652"/>
      <c r="J16" s="653"/>
      <c r="K16" s="417"/>
      <c r="L16" s="610"/>
      <c r="M16" s="553"/>
      <c r="N16" s="645"/>
      <c r="O16" s="611"/>
      <c r="P16" s="612"/>
      <c r="Q16" s="613"/>
      <c r="R16" s="554"/>
      <c r="S16" s="553"/>
      <c r="T16" s="613"/>
      <c r="U16" s="614">
        <f>SUM(O16+R16)</f>
        <v>0</v>
      </c>
      <c r="V16" s="552"/>
      <c r="W16" s="640"/>
      <c r="X16" s="616">
        <v>0</v>
      </c>
      <c r="Y16" s="616"/>
      <c r="Z16" s="616"/>
      <c r="AA16" s="616"/>
      <c r="AB16" s="654"/>
      <c r="AC16" s="655"/>
      <c r="AD16" s="656"/>
    </row>
    <row r="17" spans="1:30" s="1" customFormat="1" ht="13.5" thickBot="1">
      <c r="A17" s="1082" t="s">
        <v>93</v>
      </c>
      <c r="B17" s="1083"/>
      <c r="C17" s="1083"/>
      <c r="D17" s="1083"/>
      <c r="E17" s="1083"/>
      <c r="F17" s="657">
        <f>SUM(F7:F16)</f>
        <v>329</v>
      </c>
      <c r="G17" s="958"/>
      <c r="H17" s="658">
        <f>SUM(H7:H16)</f>
        <v>3468012.09</v>
      </c>
      <c r="I17" s="658">
        <f>SUM(I7:I16)</f>
        <v>242760.84630000003</v>
      </c>
      <c r="J17" s="659">
        <f>SUM(J7:J16)</f>
        <v>3710772.9362999992</v>
      </c>
      <c r="K17" s="381"/>
      <c r="L17" s="766" t="s">
        <v>272</v>
      </c>
      <c r="M17" s="378"/>
      <c r="N17" s="378">
        <f>1093000+43000+1053300+1777000+41500</f>
        <v>4007800</v>
      </c>
      <c r="O17" s="378"/>
      <c r="P17" s="660"/>
      <c r="Q17" s="384"/>
      <c r="R17" s="377"/>
      <c r="S17" s="661"/>
      <c r="T17" s="661"/>
      <c r="U17" s="662"/>
      <c r="V17" s="663"/>
      <c r="W17" s="492"/>
      <c r="X17" s="489"/>
      <c r="Y17" s="489"/>
      <c r="Z17" s="489"/>
      <c r="AA17" s="489"/>
      <c r="AB17" s="488"/>
      <c r="AC17" s="487"/>
      <c r="AD17" s="486"/>
    </row>
    <row r="18" spans="1:30" ht="13.5" thickBot="1">
      <c r="A18" s="1084" t="s">
        <v>273</v>
      </c>
      <c r="B18" s="1085"/>
      <c r="C18" s="1085"/>
      <c r="D18" s="1085"/>
      <c r="E18" s="1085"/>
      <c r="F18" s="664">
        <f>F17</f>
        <v>329</v>
      </c>
      <c r="G18" s="374"/>
      <c r="H18" s="373">
        <f>H17</f>
        <v>3468012.09</v>
      </c>
      <c r="I18" s="373">
        <f>I17</f>
        <v>242760.84630000003</v>
      </c>
      <c r="J18" s="485">
        <f>J17</f>
        <v>3710772.9362999992</v>
      </c>
      <c r="K18" s="372"/>
      <c r="L18" s="370">
        <f t="shared" ref="L18:S18" si="3">SUM(L7:L16)</f>
        <v>69681</v>
      </c>
      <c r="M18" s="371">
        <f>SUM(M7:M16)</f>
        <v>317</v>
      </c>
      <c r="N18" s="370">
        <f t="shared" si="3"/>
        <v>3006252.51</v>
      </c>
      <c r="O18" s="370">
        <f t="shared" si="3"/>
        <v>3000612.37</v>
      </c>
      <c r="P18" s="665">
        <f t="shared" si="3"/>
        <v>316</v>
      </c>
      <c r="Q18" s="371">
        <f t="shared" si="3"/>
        <v>0</v>
      </c>
      <c r="R18" s="370">
        <f t="shared" si="3"/>
        <v>5639.75</v>
      </c>
      <c r="S18" s="371">
        <f t="shared" si="3"/>
        <v>1</v>
      </c>
      <c r="T18" s="371"/>
      <c r="U18" s="370">
        <f>SUM(U7:U16)</f>
        <v>3006252.12</v>
      </c>
      <c r="V18" s="279">
        <f>SUM(V7:V16)</f>
        <v>0.38999999989755452</v>
      </c>
      <c r="W18" s="368"/>
      <c r="X18" s="483">
        <f>SUM(X7:X17)</f>
        <v>104040.36270000001</v>
      </c>
      <c r="Y18" s="666"/>
      <c r="Z18" s="368"/>
      <c r="AA18" s="483">
        <f>SUM(AA7:AA17)</f>
        <v>3606732.5736000002</v>
      </c>
      <c r="AB18" s="364"/>
      <c r="AC18" s="363"/>
    </row>
    <row r="19" spans="1:30" s="64" customFormat="1">
      <c r="B19" s="357"/>
      <c r="C19" s="356"/>
      <c r="D19" s="357"/>
      <c r="I19" s="350"/>
      <c r="J19" s="350"/>
      <c r="K19" s="360"/>
      <c r="L19" s="989" t="s">
        <v>521</v>
      </c>
      <c r="M19" s="990">
        <f>M15</f>
        <v>4</v>
      </c>
      <c r="N19" s="989" t="s">
        <v>94</v>
      </c>
      <c r="O19" s="667"/>
      <c r="P19" s="668"/>
      <c r="Q19" s="669"/>
      <c r="R19" s="280"/>
      <c r="S19" s="281"/>
      <c r="T19" s="281"/>
      <c r="U19" s="667"/>
      <c r="V19" s="282"/>
      <c r="W19" s="358"/>
      <c r="AC19" s="357"/>
      <c r="AD19" s="356"/>
    </row>
    <row r="20" spans="1:30" s="64" customFormat="1">
      <c r="B20" s="357"/>
      <c r="C20" s="356"/>
      <c r="D20" s="357"/>
      <c r="H20" s="338"/>
      <c r="I20" s="361"/>
      <c r="J20" s="350"/>
      <c r="K20" s="360"/>
      <c r="L20" s="273"/>
      <c r="M20" s="273"/>
      <c r="N20" s="273"/>
      <c r="O20" s="273"/>
      <c r="P20" s="670"/>
      <c r="Q20" s="671"/>
      <c r="R20" s="283"/>
      <c r="S20" s="284"/>
      <c r="T20" s="284"/>
      <c r="U20" s="273"/>
      <c r="V20" s="285"/>
      <c r="W20" s="358"/>
      <c r="AC20" s="357"/>
      <c r="AD20" s="356"/>
    </row>
    <row r="21" spans="1:30" ht="15">
      <c r="I21" s="985" t="s">
        <v>93</v>
      </c>
      <c r="J21" s="986">
        <f>SUM(H7:H16)</f>
        <v>3468012.09</v>
      </c>
      <c r="K21" s="987"/>
      <c r="L21" s="988">
        <f>SUM(L7:L16)</f>
        <v>69681</v>
      </c>
      <c r="M21" s="988"/>
      <c r="N21" s="988">
        <f>SUM(N7:N16)</f>
        <v>3006252.51</v>
      </c>
      <c r="O21" s="345"/>
      <c r="P21" s="672"/>
      <c r="Q21" s="672"/>
      <c r="R21" s="673"/>
      <c r="S21" s="674"/>
      <c r="T21" s="674"/>
      <c r="U21" s="345"/>
      <c r="V21" s="675"/>
    </row>
    <row r="22" spans="1:30">
      <c r="I22" s="355"/>
      <c r="J22" s="347"/>
      <c r="K22" s="353"/>
      <c r="L22" s="345">
        <f>L7+L10</f>
        <v>42220</v>
      </c>
      <c r="M22" s="345"/>
      <c r="N22" s="345"/>
      <c r="O22" s="345"/>
      <c r="P22" s="672"/>
      <c r="Q22" s="672"/>
      <c r="R22" s="673"/>
      <c r="S22" s="674"/>
      <c r="T22" s="674"/>
      <c r="U22" s="345"/>
      <c r="V22" s="675"/>
      <c r="W22" s="676"/>
    </row>
    <row r="23" spans="1:30">
      <c r="I23" s="355"/>
      <c r="J23" s="347"/>
      <c r="K23" s="353"/>
      <c r="W23" s="676"/>
    </row>
    <row r="24" spans="1:30" ht="12.75" hidden="1" customHeight="1" thickBot="1">
      <c r="I24" s="355"/>
      <c r="J24" s="347"/>
      <c r="K24" s="353"/>
      <c r="L24" s="350"/>
      <c r="M24" s="350"/>
      <c r="N24" s="350"/>
      <c r="O24" s="350"/>
      <c r="P24" s="344"/>
      <c r="Q24" s="344"/>
      <c r="R24" s="355"/>
      <c r="S24" s="677"/>
      <c r="T24" s="677"/>
      <c r="U24" s="350"/>
      <c r="V24" s="286"/>
      <c r="W24" s="676"/>
    </row>
    <row r="25" spans="1:30" ht="12.75" hidden="1" customHeight="1">
      <c r="I25" s="355"/>
      <c r="J25" s="347"/>
      <c r="K25" s="353"/>
      <c r="L25" s="350"/>
      <c r="M25" s="350"/>
      <c r="N25" s="350"/>
      <c r="O25" s="350"/>
      <c r="P25" s="344"/>
      <c r="Q25" s="344"/>
      <c r="R25" s="355"/>
      <c r="S25" s="677"/>
      <c r="T25" s="677"/>
      <c r="U25" s="350"/>
      <c r="V25" s="286"/>
      <c r="W25" s="676"/>
    </row>
    <row r="26" spans="1:30" ht="12.75" hidden="1" customHeight="1">
      <c r="I26" s="355"/>
      <c r="J26" s="347"/>
      <c r="K26" s="353"/>
      <c r="L26" s="347"/>
      <c r="M26" s="347"/>
      <c r="N26" s="347"/>
      <c r="O26" s="347"/>
      <c r="P26" s="343"/>
      <c r="Q26" s="343"/>
      <c r="R26" s="678"/>
      <c r="S26" s="679"/>
      <c r="T26" s="679"/>
      <c r="U26" s="347"/>
      <c r="V26" s="276"/>
      <c r="W26" s="676"/>
    </row>
    <row r="27" spans="1:30" ht="12.75" hidden="1" customHeight="1" thickBot="1">
      <c r="I27" s="355"/>
      <c r="J27" s="347"/>
      <c r="K27" s="353"/>
      <c r="L27" s="347"/>
      <c r="M27" s="347"/>
      <c r="N27" s="347"/>
      <c r="O27" s="347"/>
      <c r="P27" s="343"/>
      <c r="Q27" s="343"/>
      <c r="R27" s="678"/>
      <c r="S27" s="679"/>
      <c r="T27" s="679"/>
      <c r="U27" s="347"/>
      <c r="V27" s="276"/>
      <c r="W27" s="676"/>
    </row>
    <row r="28" spans="1:30" ht="12.75" hidden="1" customHeight="1" thickTop="1">
      <c r="I28" s="355"/>
      <c r="J28" s="347"/>
      <c r="K28" s="353"/>
      <c r="L28" s="347"/>
      <c r="M28" s="347"/>
      <c r="N28" s="347"/>
      <c r="O28" s="347"/>
      <c r="P28" s="343"/>
      <c r="Q28" s="343"/>
      <c r="R28" s="678"/>
      <c r="S28" s="679"/>
      <c r="T28" s="679"/>
      <c r="U28" s="347"/>
      <c r="V28" s="276"/>
      <c r="W28" s="676"/>
    </row>
    <row r="29" spans="1:30" ht="12.75" hidden="1" customHeight="1">
      <c r="I29" s="355"/>
      <c r="J29" s="347"/>
      <c r="K29" s="353"/>
      <c r="L29" s="347"/>
      <c r="M29" s="347"/>
      <c r="N29" s="347"/>
      <c r="O29" s="347"/>
      <c r="P29" s="343"/>
      <c r="Q29" s="343"/>
      <c r="R29" s="678"/>
      <c r="S29" s="679"/>
      <c r="T29" s="679"/>
      <c r="U29" s="347"/>
      <c r="V29" s="276"/>
      <c r="W29" s="676"/>
    </row>
    <row r="30" spans="1:30" ht="12.75" hidden="1" customHeight="1">
      <c r="I30" s="355"/>
      <c r="J30" s="347"/>
      <c r="K30" s="353"/>
      <c r="L30" s="347"/>
      <c r="M30" s="347"/>
      <c r="N30" s="347"/>
      <c r="O30" s="347"/>
      <c r="P30" s="343"/>
      <c r="Q30" s="343"/>
      <c r="R30" s="678"/>
      <c r="S30" s="679"/>
      <c r="T30" s="679"/>
      <c r="U30" s="347"/>
      <c r="V30" s="276"/>
      <c r="W30" s="676"/>
    </row>
    <row r="31" spans="1:30" ht="12.75" hidden="1" customHeight="1">
      <c r="I31" s="355"/>
      <c r="J31" s="347"/>
      <c r="K31" s="353"/>
      <c r="L31" s="347"/>
      <c r="M31" s="347"/>
      <c r="N31" s="347"/>
      <c r="O31" s="347"/>
      <c r="P31" s="343"/>
      <c r="Q31" s="343"/>
      <c r="R31" s="678"/>
      <c r="S31" s="679"/>
      <c r="T31" s="679"/>
      <c r="U31" s="347"/>
      <c r="V31" s="276"/>
      <c r="W31" s="676"/>
    </row>
    <row r="32" spans="1:30" ht="12.75" hidden="1" customHeight="1">
      <c r="I32" s="355"/>
      <c r="J32" s="347"/>
      <c r="K32" s="353"/>
      <c r="L32" s="347"/>
      <c r="M32" s="347"/>
      <c r="N32" s="347"/>
      <c r="O32" s="347"/>
      <c r="P32" s="343"/>
      <c r="Q32" s="343"/>
      <c r="R32" s="678"/>
      <c r="S32" s="679"/>
      <c r="T32" s="679"/>
      <c r="U32" s="347"/>
      <c r="V32" s="276"/>
      <c r="W32" s="676"/>
    </row>
    <row r="33" spans="1:30" ht="12.75" hidden="1" customHeight="1">
      <c r="I33" s="355"/>
      <c r="J33" s="347"/>
      <c r="K33" s="353"/>
      <c r="L33" s="347"/>
      <c r="M33" s="347"/>
      <c r="N33" s="347"/>
      <c r="O33" s="347"/>
      <c r="P33" s="343"/>
      <c r="Q33" s="343"/>
      <c r="R33" s="678"/>
      <c r="S33" s="679"/>
      <c r="T33" s="679"/>
      <c r="U33" s="347"/>
      <c r="V33" s="276"/>
      <c r="W33" s="676"/>
    </row>
    <row r="34" spans="1:30" ht="12.75" hidden="1" customHeight="1">
      <c r="I34" s="355"/>
      <c r="J34" s="347"/>
      <c r="K34" s="353"/>
      <c r="L34" s="347"/>
      <c r="M34" s="347"/>
      <c r="N34" s="347"/>
      <c r="O34" s="347"/>
      <c r="P34" s="343"/>
      <c r="Q34" s="343"/>
      <c r="R34" s="678"/>
      <c r="S34" s="679"/>
      <c r="T34" s="679"/>
      <c r="U34" s="347"/>
      <c r="V34" s="276"/>
      <c r="W34" s="676"/>
    </row>
    <row r="35" spans="1:30" ht="12.75" hidden="1" customHeight="1">
      <c r="I35" s="355"/>
      <c r="J35" s="347"/>
      <c r="K35" s="353"/>
      <c r="L35" s="347"/>
      <c r="M35" s="347"/>
      <c r="N35" s="347"/>
      <c r="O35" s="347"/>
      <c r="P35" s="343"/>
      <c r="Q35" s="343"/>
      <c r="R35" s="678"/>
      <c r="S35" s="679"/>
      <c r="T35" s="679"/>
      <c r="U35" s="347"/>
      <c r="V35" s="276"/>
      <c r="W35" s="676"/>
    </row>
    <row r="36" spans="1:30" ht="12.75" hidden="1" customHeight="1">
      <c r="I36" s="355"/>
      <c r="J36" s="347"/>
      <c r="K36" s="353"/>
      <c r="L36" s="347"/>
      <c r="M36" s="347"/>
      <c r="N36" s="347"/>
      <c r="O36" s="347"/>
      <c r="P36" s="343"/>
      <c r="Q36" s="343"/>
      <c r="R36" s="678"/>
      <c r="S36" s="679"/>
      <c r="T36" s="679"/>
      <c r="U36" s="347"/>
      <c r="V36" s="276"/>
      <c r="W36" s="676"/>
    </row>
    <row r="37" spans="1:30" ht="12.75" hidden="1" customHeight="1">
      <c r="I37" s="355"/>
      <c r="J37" s="347"/>
      <c r="K37" s="353"/>
      <c r="L37" s="347"/>
      <c r="M37" s="347"/>
      <c r="N37" s="347"/>
      <c r="O37" s="347"/>
      <c r="P37" s="343"/>
      <c r="Q37" s="343"/>
      <c r="R37" s="678"/>
      <c r="S37" s="679"/>
      <c r="T37" s="679"/>
      <c r="U37" s="347"/>
      <c r="V37" s="276"/>
      <c r="W37" s="676"/>
    </row>
    <row r="38" spans="1:30" ht="12.75" hidden="1" customHeight="1">
      <c r="I38" s="355"/>
      <c r="J38" s="347"/>
      <c r="K38" s="353"/>
      <c r="L38" s="347"/>
      <c r="M38" s="347"/>
      <c r="N38" s="347"/>
      <c r="O38" s="347"/>
      <c r="P38" s="343"/>
      <c r="Q38" s="343"/>
      <c r="R38" s="678"/>
      <c r="S38" s="679"/>
      <c r="T38" s="679"/>
      <c r="U38" s="347"/>
      <c r="V38" s="276"/>
      <c r="W38" s="676"/>
    </row>
    <row r="39" spans="1:30" ht="12.75" hidden="1" customHeight="1">
      <c r="A39" s="1"/>
      <c r="E39" s="1"/>
      <c r="F39" s="1"/>
      <c r="G39" s="1"/>
      <c r="J39" s="474"/>
      <c r="K39" s="680"/>
      <c r="L39" s="347"/>
      <c r="M39" s="347"/>
      <c r="N39" s="347"/>
      <c r="O39" s="347"/>
      <c r="P39" s="343"/>
      <c r="Q39" s="343"/>
      <c r="R39" s="678"/>
      <c r="S39" s="679"/>
      <c r="T39" s="679"/>
      <c r="U39" s="347"/>
      <c r="V39" s="276"/>
      <c r="W39" s="676"/>
    </row>
    <row r="40" spans="1:30" ht="12.75" hidden="1" customHeight="1">
      <c r="L40" s="347"/>
      <c r="M40" s="347"/>
      <c r="N40" s="347"/>
      <c r="O40" s="347"/>
      <c r="P40" s="343"/>
      <c r="Q40" s="343"/>
      <c r="R40" s="678"/>
      <c r="S40" s="679"/>
      <c r="T40" s="679"/>
      <c r="U40" s="347"/>
      <c r="V40" s="276"/>
    </row>
    <row r="41" spans="1:30" ht="12.75" hidden="1" customHeight="1">
      <c r="L41" s="347"/>
      <c r="M41" s="347"/>
      <c r="N41" s="347"/>
      <c r="O41" s="347"/>
      <c r="P41" s="343"/>
      <c r="Q41" s="343"/>
      <c r="R41" s="678"/>
      <c r="S41" s="679"/>
      <c r="T41" s="679"/>
      <c r="U41" s="347"/>
      <c r="V41" s="276"/>
    </row>
    <row r="42" spans="1:30">
      <c r="L42" s="347"/>
      <c r="M42" s="347"/>
      <c r="N42" s="347"/>
      <c r="O42" s="347"/>
      <c r="P42" s="343"/>
      <c r="Q42" s="343"/>
      <c r="R42" s="678"/>
      <c r="S42" s="679"/>
      <c r="T42" s="679"/>
      <c r="U42" s="347"/>
      <c r="V42" s="276"/>
    </row>
    <row r="43" spans="1:30">
      <c r="L43" s="347"/>
      <c r="M43" s="347"/>
      <c r="N43" s="347"/>
      <c r="O43" s="347"/>
      <c r="P43" s="343"/>
      <c r="Q43" s="343"/>
      <c r="R43" s="678"/>
      <c r="S43" s="679"/>
      <c r="T43" s="679"/>
      <c r="U43" s="347"/>
      <c r="V43" s="276"/>
    </row>
    <row r="44" spans="1:30" ht="27.95" customHeight="1">
      <c r="B44" s="564" t="s">
        <v>498</v>
      </c>
      <c r="C44" s="471"/>
      <c r="D44" s="470"/>
      <c r="E44" s="469"/>
      <c r="F44" s="469"/>
      <c r="G44" s="469"/>
      <c r="L44" s="474"/>
      <c r="M44" s="474"/>
      <c r="N44" s="474"/>
      <c r="O44" s="474"/>
      <c r="P44" s="681"/>
      <c r="Q44" s="681"/>
      <c r="R44" s="682"/>
      <c r="S44" s="683"/>
      <c r="T44" s="683"/>
      <c r="U44" s="474"/>
      <c r="V44" s="684"/>
    </row>
    <row r="45" spans="1:30" ht="20.25">
      <c r="B45" s="472" t="s">
        <v>280</v>
      </c>
      <c r="C45" s="471"/>
      <c r="D45" s="470"/>
      <c r="E45" s="469"/>
      <c r="F45" s="469"/>
      <c r="G45" s="469"/>
    </row>
    <row r="46" spans="1:30" ht="13.5" thickBot="1"/>
    <row r="47" spans="1:30">
      <c r="A47" s="468" t="s">
        <v>227</v>
      </c>
      <c r="B47" s="1086" t="s">
        <v>274</v>
      </c>
      <c r="C47" s="1086"/>
      <c r="D47" s="1087"/>
      <c r="E47" s="1087"/>
      <c r="F47" s="467" t="s">
        <v>229</v>
      </c>
      <c r="G47" s="685"/>
      <c r="H47" s="1088" t="s">
        <v>231</v>
      </c>
      <c r="I47" s="1089"/>
      <c r="J47" s="1090"/>
      <c r="K47" s="581" t="s">
        <v>139</v>
      </c>
      <c r="L47" s="1073"/>
      <c r="M47" s="1073"/>
      <c r="N47" s="1074"/>
      <c r="O47" s="1091" t="s">
        <v>139</v>
      </c>
      <c r="P47" s="1073"/>
      <c r="Q47" s="1073"/>
      <c r="R47" s="1073"/>
      <c r="S47" s="1073"/>
      <c r="T47" s="1073"/>
      <c r="U47" s="1074"/>
      <c r="V47" s="582"/>
      <c r="W47" s="840" t="s">
        <v>232</v>
      </c>
      <c r="X47" s="1075" t="s">
        <v>234</v>
      </c>
      <c r="Y47" s="1076"/>
      <c r="Z47" s="1077"/>
      <c r="AA47" s="841" t="s">
        <v>235</v>
      </c>
      <c r="AB47" s="464" t="s">
        <v>275</v>
      </c>
      <c r="AC47" s="1092" t="s">
        <v>276</v>
      </c>
      <c r="AD47" s="1093"/>
    </row>
    <row r="48" spans="1:30" ht="13.5" thickBot="1">
      <c r="A48" s="463"/>
      <c r="B48" s="462" t="s">
        <v>238</v>
      </c>
      <c r="C48" s="461"/>
      <c r="D48" s="460" t="s">
        <v>239</v>
      </c>
      <c r="E48" s="459" t="s">
        <v>240</v>
      </c>
      <c r="F48" s="458" t="s">
        <v>94</v>
      </c>
      <c r="G48" s="686" t="s">
        <v>230</v>
      </c>
      <c r="H48" s="455" t="s">
        <v>82</v>
      </c>
      <c r="I48" s="457" t="s">
        <v>241</v>
      </c>
      <c r="J48" s="456" t="s">
        <v>7</v>
      </c>
      <c r="K48" s="593"/>
      <c r="L48" s="454" t="s">
        <v>242</v>
      </c>
      <c r="M48" s="452" t="s">
        <v>243</v>
      </c>
      <c r="N48" s="447" t="s">
        <v>244</v>
      </c>
      <c r="O48" s="453" t="s">
        <v>245</v>
      </c>
      <c r="P48" s="452" t="s">
        <v>243</v>
      </c>
      <c r="Q48" s="451" t="s">
        <v>246</v>
      </c>
      <c r="R48" s="450" t="s">
        <v>247</v>
      </c>
      <c r="S48" s="449" t="s">
        <v>243</v>
      </c>
      <c r="T48" s="451" t="s">
        <v>246</v>
      </c>
      <c r="U48" s="447" t="s">
        <v>248</v>
      </c>
      <c r="V48" s="278" t="s">
        <v>249</v>
      </c>
      <c r="W48" s="842" t="s">
        <v>296</v>
      </c>
      <c r="X48" s="445" t="s">
        <v>251</v>
      </c>
      <c r="Y48" s="687" t="s">
        <v>252</v>
      </c>
      <c r="Z48" s="688" t="s">
        <v>238</v>
      </c>
      <c r="AA48" s="843" t="s">
        <v>253</v>
      </c>
      <c r="AB48" s="442" t="s">
        <v>278</v>
      </c>
      <c r="AC48" s="1094"/>
      <c r="AD48" s="1095"/>
    </row>
    <row r="49" spans="1:38">
      <c r="A49" s="619">
        <v>1</v>
      </c>
      <c r="B49" s="689" t="s">
        <v>285</v>
      </c>
      <c r="C49" s="690">
        <v>150076</v>
      </c>
      <c r="D49" s="844">
        <v>42251</v>
      </c>
      <c r="E49" s="603" t="s">
        <v>284</v>
      </c>
      <c r="F49" s="604">
        <f>67+7+21+2+3+4+2+2+6+2+1</f>
        <v>117</v>
      </c>
      <c r="G49" s="605" t="s">
        <v>499</v>
      </c>
      <c r="H49" s="606">
        <v>1002368.23</v>
      </c>
      <c r="I49" s="607">
        <f t="shared" ref="I49:I55" si="4">H49*7/100</f>
        <v>70165.776099999988</v>
      </c>
      <c r="J49" s="608">
        <f t="shared" ref="J49:J55" si="5">H49+I49</f>
        <v>1072534.0060999999</v>
      </c>
      <c r="K49" s="609">
        <v>42233</v>
      </c>
      <c r="L49" s="610">
        <v>19785</v>
      </c>
      <c r="M49" s="559">
        <v>119</v>
      </c>
      <c r="N49" s="645">
        <v>871263.71</v>
      </c>
      <c r="O49" s="611">
        <v>862328.71</v>
      </c>
      <c r="P49" s="612">
        <v>118</v>
      </c>
      <c r="Q49" s="613"/>
      <c r="R49" s="554">
        <v>8935</v>
      </c>
      <c r="S49" s="559">
        <v>1</v>
      </c>
      <c r="T49" s="613"/>
      <c r="U49" s="614">
        <f>SUM(O49+R49)</f>
        <v>871263.71</v>
      </c>
      <c r="V49" s="552">
        <f t="shared" ref="V49:V56" si="6">N49-U49</f>
        <v>0</v>
      </c>
      <c r="W49" s="615">
        <v>42251</v>
      </c>
      <c r="X49" s="497">
        <f t="shared" ref="X49:X56" si="7">(H49*3/100)</f>
        <v>30071.046900000001</v>
      </c>
      <c r="Y49" s="837"/>
      <c r="Z49" s="838"/>
      <c r="AA49" s="616">
        <f t="shared" ref="AA49:AA56" si="8">J49-X49</f>
        <v>1042462.9591999999</v>
      </c>
      <c r="AB49" s="617" t="s">
        <v>500</v>
      </c>
      <c r="AC49" s="845" t="s">
        <v>414</v>
      </c>
      <c r="AD49" s="637" t="s">
        <v>289</v>
      </c>
    </row>
    <row r="50" spans="1:38">
      <c r="A50" s="599">
        <v>2</v>
      </c>
      <c r="B50" s="600" t="s">
        <v>285</v>
      </c>
      <c r="C50" s="601">
        <f t="shared" ref="C50:C56" si="9">C49+1</f>
        <v>150077</v>
      </c>
      <c r="D50" s="691">
        <v>42262</v>
      </c>
      <c r="E50" s="603" t="s">
        <v>288</v>
      </c>
      <c r="F50" s="604">
        <v>4</v>
      </c>
      <c r="G50" s="605" t="s">
        <v>419</v>
      </c>
      <c r="H50" s="631">
        <v>31602.25</v>
      </c>
      <c r="I50" s="622">
        <f t="shared" si="4"/>
        <v>2212.1574999999998</v>
      </c>
      <c r="J50" s="623">
        <f t="shared" si="5"/>
        <v>33814.407500000001</v>
      </c>
      <c r="K50" s="417">
        <v>42244</v>
      </c>
      <c r="L50" s="610">
        <v>645</v>
      </c>
      <c r="M50" s="553">
        <v>4</v>
      </c>
      <c r="N50" s="645">
        <v>28970</v>
      </c>
      <c r="O50" s="611">
        <v>28970</v>
      </c>
      <c r="P50" s="612">
        <v>4</v>
      </c>
      <c r="Q50" s="613"/>
      <c r="R50" s="554"/>
      <c r="S50" s="553"/>
      <c r="T50" s="613"/>
      <c r="U50" s="614">
        <f>O50+R50</f>
        <v>28970</v>
      </c>
      <c r="V50" s="555">
        <f t="shared" si="6"/>
        <v>0</v>
      </c>
      <c r="W50" s="410">
        <v>42262</v>
      </c>
      <c r="X50" s="497">
        <f t="shared" si="7"/>
        <v>948.0675</v>
      </c>
      <c r="Y50" s="497"/>
      <c r="Z50" s="497"/>
      <c r="AA50" s="616">
        <f t="shared" si="8"/>
        <v>32866.340000000004</v>
      </c>
      <c r="AB50" s="407" t="s">
        <v>501</v>
      </c>
      <c r="AC50" s="845" t="s">
        <v>414</v>
      </c>
      <c r="AD50" s="637" t="s">
        <v>418</v>
      </c>
    </row>
    <row r="51" spans="1:38">
      <c r="A51" s="619">
        <v>3</v>
      </c>
      <c r="B51" s="600" t="s">
        <v>285</v>
      </c>
      <c r="C51" s="601">
        <f t="shared" si="9"/>
        <v>150078</v>
      </c>
      <c r="D51" s="691">
        <v>42262</v>
      </c>
      <c r="E51" s="638" t="s">
        <v>372</v>
      </c>
      <c r="F51" s="604">
        <v>11</v>
      </c>
      <c r="G51" s="639" t="s">
        <v>416</v>
      </c>
      <c r="H51" s="631">
        <v>3000</v>
      </c>
      <c r="I51" s="622">
        <f t="shared" si="4"/>
        <v>210</v>
      </c>
      <c r="J51" s="623">
        <f t="shared" si="5"/>
        <v>3210</v>
      </c>
      <c r="K51" s="417" t="s">
        <v>292</v>
      </c>
      <c r="L51" s="610"/>
      <c r="M51" s="556"/>
      <c r="N51" s="645"/>
      <c r="O51" s="611"/>
      <c r="P51" s="612"/>
      <c r="Q51" s="613"/>
      <c r="R51" s="554"/>
      <c r="S51" s="556"/>
      <c r="T51" s="613"/>
      <c r="U51" s="614">
        <v>0</v>
      </c>
      <c r="V51" s="555">
        <f t="shared" si="6"/>
        <v>0</v>
      </c>
      <c r="W51" s="615">
        <v>42262</v>
      </c>
      <c r="X51" s="497">
        <f t="shared" si="7"/>
        <v>90</v>
      </c>
      <c r="Y51" s="641"/>
      <c r="Z51" s="642"/>
      <c r="AA51" s="616">
        <f t="shared" si="8"/>
        <v>3120</v>
      </c>
      <c r="AB51" s="433" t="s">
        <v>417</v>
      </c>
      <c r="AC51" s="845" t="s">
        <v>414</v>
      </c>
      <c r="AD51" s="637" t="s">
        <v>291</v>
      </c>
    </row>
    <row r="52" spans="1:38">
      <c r="A52" s="599">
        <v>4</v>
      </c>
      <c r="B52" s="600" t="s">
        <v>285</v>
      </c>
      <c r="C52" s="601">
        <f t="shared" si="9"/>
        <v>150079</v>
      </c>
      <c r="D52" s="691">
        <v>42265</v>
      </c>
      <c r="E52" s="603" t="s">
        <v>284</v>
      </c>
      <c r="F52" s="604">
        <f>67+7+21+2+3+4+2+2+6+1+1</f>
        <v>116</v>
      </c>
      <c r="G52" s="605" t="s">
        <v>483</v>
      </c>
      <c r="H52" s="606">
        <v>1097640.46</v>
      </c>
      <c r="I52" s="607">
        <f t="shared" si="4"/>
        <v>76834.832200000004</v>
      </c>
      <c r="J52" s="608">
        <f t="shared" si="5"/>
        <v>1174475.2922</v>
      </c>
      <c r="K52" s="609">
        <v>42258</v>
      </c>
      <c r="L52" s="610">
        <v>21289</v>
      </c>
      <c r="M52" s="559">
        <v>118</v>
      </c>
      <c r="N52" s="645">
        <v>1014263.71</v>
      </c>
      <c r="O52" s="611">
        <v>1008623.96</v>
      </c>
      <c r="P52" s="612">
        <v>117</v>
      </c>
      <c r="Q52" s="613"/>
      <c r="R52" s="554">
        <v>5639.75</v>
      </c>
      <c r="S52" s="559">
        <v>1</v>
      </c>
      <c r="T52" s="613"/>
      <c r="U52" s="614">
        <f>SUM(O52+R52)</f>
        <v>1014263.71</v>
      </c>
      <c r="V52" s="552">
        <f t="shared" si="6"/>
        <v>0</v>
      </c>
      <c r="W52" s="615">
        <v>42265</v>
      </c>
      <c r="X52" s="497">
        <f t="shared" si="7"/>
        <v>32929.213799999998</v>
      </c>
      <c r="Y52" s="837"/>
      <c r="Z52" s="838"/>
      <c r="AA52" s="616">
        <f t="shared" si="8"/>
        <v>1141546.0784</v>
      </c>
      <c r="AB52" s="617" t="s">
        <v>484</v>
      </c>
      <c r="AC52" s="845" t="s">
        <v>481</v>
      </c>
      <c r="AD52" s="637" t="s">
        <v>279</v>
      </c>
    </row>
    <row r="53" spans="1:38">
      <c r="A53" s="619">
        <v>5</v>
      </c>
      <c r="B53" s="600" t="s">
        <v>285</v>
      </c>
      <c r="C53" s="601">
        <f t="shared" si="9"/>
        <v>150080</v>
      </c>
      <c r="D53" s="691">
        <v>42265</v>
      </c>
      <c r="E53" s="603" t="s">
        <v>371</v>
      </c>
      <c r="F53" s="621">
        <f>2+1</f>
        <v>3</v>
      </c>
      <c r="G53" s="603" t="s">
        <v>379</v>
      </c>
      <c r="H53" s="606">
        <v>4219.93</v>
      </c>
      <c r="I53" s="622">
        <f t="shared" si="4"/>
        <v>295.39510000000001</v>
      </c>
      <c r="J53" s="623">
        <f t="shared" si="5"/>
        <v>4515.3251</v>
      </c>
      <c r="K53" s="441"/>
      <c r="L53" s="624"/>
      <c r="M53" s="559"/>
      <c r="N53" s="644"/>
      <c r="O53" s="625"/>
      <c r="P53" s="626"/>
      <c r="Q53" s="627"/>
      <c r="R53" s="560"/>
      <c r="S53" s="559"/>
      <c r="T53" s="627"/>
      <c r="U53" s="628"/>
      <c r="V53" s="558">
        <f t="shared" si="6"/>
        <v>0</v>
      </c>
      <c r="W53" s="439"/>
      <c r="X53" s="497">
        <f t="shared" si="7"/>
        <v>126.59790000000001</v>
      </c>
      <c r="Y53" s="409"/>
      <c r="Z53" s="409"/>
      <c r="AA53" s="616">
        <f t="shared" si="8"/>
        <v>4388.7272000000003</v>
      </c>
      <c r="AB53" s="969" t="s">
        <v>485</v>
      </c>
      <c r="AC53" s="845" t="s">
        <v>481</v>
      </c>
      <c r="AD53" s="637" t="s">
        <v>286</v>
      </c>
    </row>
    <row r="54" spans="1:38">
      <c r="A54" s="599">
        <v>6</v>
      </c>
      <c r="B54" s="600" t="s">
        <v>285</v>
      </c>
      <c r="C54" s="601">
        <f t="shared" si="9"/>
        <v>150081</v>
      </c>
      <c r="D54" s="691">
        <v>42275</v>
      </c>
      <c r="E54" s="603" t="s">
        <v>415</v>
      </c>
      <c r="F54" s="604">
        <v>14</v>
      </c>
      <c r="G54" s="630" t="s">
        <v>493</v>
      </c>
      <c r="H54" s="631">
        <v>192161.13</v>
      </c>
      <c r="I54" s="622">
        <f t="shared" si="4"/>
        <v>13451.279100000002</v>
      </c>
      <c r="J54" s="623">
        <f t="shared" si="5"/>
        <v>205612.40910000002</v>
      </c>
      <c r="K54" s="417">
        <v>42272</v>
      </c>
      <c r="L54" s="632">
        <v>4590</v>
      </c>
      <c r="M54" s="556">
        <v>14</v>
      </c>
      <c r="N54" s="765">
        <v>151673.75</v>
      </c>
      <c r="O54" s="633">
        <v>151673.75</v>
      </c>
      <c r="P54" s="634">
        <v>14</v>
      </c>
      <c r="Q54" s="635"/>
      <c r="R54" s="557"/>
      <c r="S54" s="556"/>
      <c r="T54" s="635"/>
      <c r="U54" s="636">
        <f>SUM(O54+R54)</f>
        <v>151673.75</v>
      </c>
      <c r="V54" s="555">
        <f t="shared" si="6"/>
        <v>0</v>
      </c>
      <c r="W54" s="615">
        <v>42275</v>
      </c>
      <c r="X54" s="497">
        <f t="shared" si="7"/>
        <v>5764.8339000000005</v>
      </c>
      <c r="Y54" s="497"/>
      <c r="Z54" s="497"/>
      <c r="AA54" s="616">
        <f t="shared" si="8"/>
        <v>199847.57520000002</v>
      </c>
      <c r="AB54" s="407" t="s">
        <v>494</v>
      </c>
      <c r="AC54" s="845" t="s">
        <v>481</v>
      </c>
      <c r="AD54" s="637" t="s">
        <v>293</v>
      </c>
    </row>
    <row r="55" spans="1:38">
      <c r="A55" s="619">
        <v>7</v>
      </c>
      <c r="B55" s="600" t="s">
        <v>285</v>
      </c>
      <c r="C55" s="601">
        <f t="shared" si="9"/>
        <v>150082</v>
      </c>
      <c r="D55" s="691">
        <v>42277</v>
      </c>
      <c r="E55" s="603" t="s">
        <v>288</v>
      </c>
      <c r="F55" s="621">
        <v>4</v>
      </c>
      <c r="G55" s="630" t="s">
        <v>486</v>
      </c>
      <c r="H55" s="631">
        <v>28495.31</v>
      </c>
      <c r="I55" s="622">
        <f t="shared" si="4"/>
        <v>1994.6717000000001</v>
      </c>
      <c r="J55" s="623">
        <f t="shared" si="5"/>
        <v>30489.9817</v>
      </c>
      <c r="K55" s="417">
        <v>42262</v>
      </c>
      <c r="L55" s="632">
        <v>720</v>
      </c>
      <c r="M55" s="556">
        <v>4</v>
      </c>
      <c r="N55" s="765">
        <v>23958.75</v>
      </c>
      <c r="O55" s="633">
        <v>23958.75</v>
      </c>
      <c r="P55" s="634">
        <v>4</v>
      </c>
      <c r="Q55" s="635"/>
      <c r="R55" s="557">
        <v>0</v>
      </c>
      <c r="S55" s="556">
        <v>0</v>
      </c>
      <c r="T55" s="635"/>
      <c r="U55" s="636">
        <f>SUM(O55+R55)</f>
        <v>23958.75</v>
      </c>
      <c r="V55" s="555">
        <f t="shared" si="6"/>
        <v>0</v>
      </c>
      <c r="W55" s="615">
        <v>42277</v>
      </c>
      <c r="X55" s="497">
        <f t="shared" si="7"/>
        <v>854.85930000000008</v>
      </c>
      <c r="Y55" s="497"/>
      <c r="Z55" s="497"/>
      <c r="AA55" s="616">
        <f t="shared" si="8"/>
        <v>29635.1224</v>
      </c>
      <c r="AB55" s="407" t="s">
        <v>487</v>
      </c>
      <c r="AC55" s="845" t="s">
        <v>481</v>
      </c>
      <c r="AD55" s="637" t="s">
        <v>287</v>
      </c>
      <c r="AE55" s="846"/>
      <c r="AI55" s="438"/>
      <c r="AJ55" s="438"/>
      <c r="AK55" s="438"/>
      <c r="AL55" s="438"/>
    </row>
    <row r="56" spans="1:38">
      <c r="A56" s="599">
        <v>8</v>
      </c>
      <c r="B56" s="600" t="s">
        <v>285</v>
      </c>
      <c r="C56" s="601">
        <f t="shared" si="9"/>
        <v>150083</v>
      </c>
      <c r="D56" s="691">
        <v>42277</v>
      </c>
      <c r="E56" s="603" t="s">
        <v>295</v>
      </c>
      <c r="F56" s="604">
        <v>60</v>
      </c>
      <c r="G56" s="630" t="s">
        <v>495</v>
      </c>
      <c r="H56" s="631">
        <v>1065362.31</v>
      </c>
      <c r="I56" s="622">
        <f>H56*7/100</f>
        <v>74575.361699999994</v>
      </c>
      <c r="J56" s="623">
        <f>H56+I56</f>
        <v>1139937.6717000001</v>
      </c>
      <c r="K56" s="609">
        <v>42277</v>
      </c>
      <c r="L56" s="610">
        <v>21551</v>
      </c>
      <c r="M56" s="553">
        <v>60</v>
      </c>
      <c r="N56" s="645">
        <v>887011.1</v>
      </c>
      <c r="O56" s="633">
        <v>887011.39</v>
      </c>
      <c r="P56" s="634">
        <v>60</v>
      </c>
      <c r="Q56" s="635"/>
      <c r="R56" s="557"/>
      <c r="S56" s="556"/>
      <c r="T56" s="635"/>
      <c r="U56" s="636">
        <f>SUM(O56+R56)</f>
        <v>887011.39</v>
      </c>
      <c r="V56" s="555">
        <f t="shared" si="6"/>
        <v>-0.2900000000372529</v>
      </c>
      <c r="W56" s="615">
        <v>42277</v>
      </c>
      <c r="X56" s="497">
        <f t="shared" si="7"/>
        <v>31960.869300000002</v>
      </c>
      <c r="Y56" s="497"/>
      <c r="Z56" s="497"/>
      <c r="AA56" s="616">
        <f t="shared" si="8"/>
        <v>1107976.8024000002</v>
      </c>
      <c r="AB56" s="433" t="s">
        <v>496</v>
      </c>
      <c r="AC56" s="845" t="s">
        <v>481</v>
      </c>
      <c r="AD56" s="637" t="s">
        <v>294</v>
      </c>
      <c r="AE56" s="846"/>
      <c r="AI56" s="438"/>
      <c r="AJ56" s="438"/>
      <c r="AK56" s="438"/>
      <c r="AL56" s="438"/>
    </row>
    <row r="57" spans="1:38" ht="13.5" thickBot="1">
      <c r="A57" s="692"/>
      <c r="B57" s="693"/>
      <c r="C57" s="694"/>
      <c r="D57" s="695"/>
      <c r="E57" s="696"/>
      <c r="F57" s="697"/>
      <c r="G57" s="698"/>
      <c r="H57" s="699"/>
      <c r="I57" s="700"/>
      <c r="J57" s="701"/>
      <c r="K57" s="417"/>
      <c r="L57" s="702"/>
      <c r="M57" s="702"/>
      <c r="N57" s="702"/>
      <c r="O57" s="702"/>
      <c r="P57" s="703"/>
      <c r="Q57" s="703"/>
      <c r="R57" s="704"/>
      <c r="S57" s="705"/>
      <c r="T57" s="705"/>
      <c r="U57" s="706"/>
      <c r="V57" s="707"/>
      <c r="W57" s="847"/>
      <c r="X57" s="708"/>
      <c r="Y57" s="767"/>
      <c r="Z57" s="767"/>
      <c r="AA57" s="709"/>
      <c r="AB57" s="710"/>
      <c r="AC57" s="388"/>
      <c r="AD57" s="387"/>
    </row>
    <row r="58" spans="1:38" s="1" customFormat="1" ht="13.5" thickBot="1">
      <c r="A58" s="1096" t="s">
        <v>93</v>
      </c>
      <c r="B58" s="1097"/>
      <c r="C58" s="1097"/>
      <c r="D58" s="1097"/>
      <c r="E58" s="1097"/>
      <c r="F58" s="657">
        <f>SUM(F49:F57)</f>
        <v>329</v>
      </c>
      <c r="G58" s="956"/>
      <c r="H58" s="711">
        <f>SUM(H49:H57)</f>
        <v>3424849.62</v>
      </c>
      <c r="I58" s="711">
        <f>SUM(I49:I57)</f>
        <v>239739.47340000002</v>
      </c>
      <c r="J58" s="711">
        <f>SUM(J49:J57)</f>
        <v>3664589.0933999997</v>
      </c>
      <c r="K58" s="712"/>
      <c r="L58" s="713"/>
      <c r="M58" s="713"/>
      <c r="N58" s="713"/>
      <c r="O58" s="713"/>
      <c r="P58" s="714"/>
      <c r="Q58" s="714"/>
      <c r="R58" s="715"/>
      <c r="S58" s="716"/>
      <c r="T58" s="716"/>
      <c r="U58" s="717"/>
      <c r="V58" s="718"/>
      <c r="W58" s="381"/>
      <c r="X58" s="378"/>
      <c r="Y58" s="378"/>
      <c r="Z58" s="378"/>
      <c r="AA58" s="378"/>
      <c r="AB58" s="377"/>
      <c r="AC58" s="376"/>
      <c r="AD58" s="375"/>
      <c r="AF58"/>
      <c r="AG58"/>
      <c r="AH58"/>
    </row>
    <row r="59" spans="1:38" ht="13.5" thickBot="1">
      <c r="A59" s="1084" t="s">
        <v>273</v>
      </c>
      <c r="B59" s="1085"/>
      <c r="C59" s="1085"/>
      <c r="D59" s="1085"/>
      <c r="E59" s="1085"/>
      <c r="F59" s="664">
        <f>F58</f>
        <v>329</v>
      </c>
      <c r="G59" s="374"/>
      <c r="H59" s="373">
        <f>H58</f>
        <v>3424849.62</v>
      </c>
      <c r="I59" s="373">
        <f>I58</f>
        <v>239739.47340000002</v>
      </c>
      <c r="J59" s="373">
        <f>J58</f>
        <v>3664589.0933999997</v>
      </c>
      <c r="K59" s="372"/>
      <c r="L59" s="370"/>
      <c r="M59" s="370"/>
      <c r="N59" s="370"/>
      <c r="O59" s="370"/>
      <c r="P59" s="719"/>
      <c r="Q59" s="719"/>
      <c r="R59" s="720"/>
      <c r="S59" s="721"/>
      <c r="T59" s="721"/>
      <c r="U59" s="722"/>
      <c r="V59" s="287"/>
      <c r="W59" s="368"/>
      <c r="X59" s="365">
        <f>SUM(X49:X58)</f>
        <v>102745.48860000001</v>
      </c>
      <c r="Y59" s="723"/>
      <c r="Z59" s="368"/>
      <c r="AA59" s="365">
        <f>SUM(AA49:AA58)</f>
        <v>3561843.6048000008</v>
      </c>
      <c r="AB59" s="364"/>
      <c r="AC59" s="363"/>
      <c r="AD59" s="362"/>
    </row>
    <row r="60" spans="1:38" s="64" customFormat="1">
      <c r="B60" s="357"/>
      <c r="C60" s="356"/>
      <c r="D60" s="357"/>
      <c r="I60" s="350"/>
      <c r="J60" s="350"/>
      <c r="K60" s="360"/>
      <c r="L60" s="338"/>
      <c r="M60" s="338"/>
      <c r="N60" s="338"/>
      <c r="O60" s="338"/>
      <c r="P60" s="340"/>
      <c r="Q60" s="340"/>
      <c r="R60" s="476"/>
      <c r="S60" s="577"/>
      <c r="T60" s="577"/>
      <c r="U60" s="338"/>
      <c r="V60" s="578"/>
      <c r="W60" s="358"/>
      <c r="AC60" s="357"/>
      <c r="AD60" s="356"/>
    </row>
    <row r="61" spans="1:38" s="64" customFormat="1">
      <c r="B61" s="357"/>
      <c r="C61" s="356"/>
      <c r="D61" s="357"/>
      <c r="H61" s="338"/>
      <c r="I61" s="361"/>
      <c r="J61" s="350"/>
      <c r="K61" s="360"/>
      <c r="L61" s="338"/>
      <c r="M61" s="338"/>
      <c r="N61" s="338"/>
      <c r="O61" s="338"/>
      <c r="P61" s="340"/>
      <c r="Q61" s="340"/>
      <c r="R61" s="476"/>
      <c r="S61" s="577"/>
      <c r="T61" s="577"/>
      <c r="U61" s="338"/>
      <c r="V61" s="578"/>
      <c r="W61" s="358"/>
      <c r="AC61" s="357"/>
      <c r="AD61" s="356"/>
    </row>
    <row r="62" spans="1:38" ht="13.5" thickBot="1">
      <c r="I62" s="355" t="s">
        <v>93</v>
      </c>
      <c r="J62" s="354">
        <f>H59+J61</f>
        <v>3424849.62</v>
      </c>
      <c r="K62" s="353"/>
    </row>
    <row r="63" spans="1:38" ht="13.5" thickTop="1">
      <c r="A63" s="1"/>
      <c r="E63" s="1"/>
      <c r="F63" s="1"/>
      <c r="G63" s="1"/>
    </row>
  </sheetData>
  <mergeCells count="15">
    <mergeCell ref="O47:U47"/>
    <mergeCell ref="X47:Z47"/>
    <mergeCell ref="AC47:AD48"/>
    <mergeCell ref="A58:E58"/>
    <mergeCell ref="A59:E59"/>
    <mergeCell ref="A17:E17"/>
    <mergeCell ref="A18:E18"/>
    <mergeCell ref="B47:E47"/>
    <mergeCell ref="H47:J47"/>
    <mergeCell ref="L47:N47"/>
    <mergeCell ref="B5:E5"/>
    <mergeCell ref="H5:J5"/>
    <mergeCell ref="L5:U5"/>
    <mergeCell ref="X5:Z5"/>
    <mergeCell ref="AC5:AD6"/>
  </mergeCells>
  <pageMargins left="0.11811023622047245" right="0.11811023622047245" top="0.31496062992125984" bottom="0.19685039370078741" header="0.19685039370078741" footer="0.15748031496062992"/>
  <pageSetup paperSize="9" scale="43" orientation="landscape" blackAndWhite="1" r:id="rId1"/>
  <headerFooter alignWithMargins="0">
    <oddFooter>&amp;R&amp;F
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V52"/>
  <sheetViews>
    <sheetView topLeftCell="B1" zoomScale="95" zoomScaleNormal="95" workbookViewId="0">
      <pane xSplit="13" ySplit="6" topLeftCell="O7" activePane="bottomRight" state="frozen"/>
      <selection activeCell="B1" sqref="B1"/>
      <selection pane="topRight" activeCell="O1" sqref="O1"/>
      <selection pane="bottomLeft" activeCell="B7" sqref="B7"/>
      <selection pane="bottomRight" activeCell="L16" sqref="L16"/>
    </sheetView>
  </sheetViews>
  <sheetFormatPr defaultRowHeight="12.75"/>
  <cols>
    <col min="1" max="1" width="3.7109375" customWidth="1"/>
    <col min="2" max="2" width="11.7109375" style="335" customWidth="1"/>
    <col min="3" max="3" width="7.7109375" style="334" customWidth="1"/>
    <col min="4" max="4" width="10.28515625" style="342" customWidth="1"/>
    <col min="5" max="5" width="24.7109375" customWidth="1"/>
    <col min="6" max="6" width="4.7109375" customWidth="1"/>
    <col min="7" max="7" width="16.28515625" customWidth="1"/>
    <col min="8" max="8" width="13.7109375" style="338" customWidth="1"/>
    <col min="9" max="9" width="11.7109375" style="338" customWidth="1"/>
    <col min="10" max="10" width="13.7109375" style="338" customWidth="1"/>
    <col min="11" max="11" width="11.28515625" style="341" customWidth="1"/>
    <col min="12" max="12" width="11.85546875" style="338" customWidth="1"/>
    <col min="13" max="13" width="4.7109375" style="338" customWidth="1"/>
    <col min="14" max="14" width="13.85546875" style="338" customWidth="1"/>
    <col min="15" max="15" width="12.5703125" style="338" customWidth="1"/>
    <col min="16" max="16" width="4.7109375" style="338" customWidth="1"/>
    <col min="17" max="17" width="6.7109375" style="340" customWidth="1"/>
    <col min="18" max="18" width="10.7109375" style="338" customWidth="1"/>
    <col min="19" max="19" width="4.7109375" style="339" customWidth="1"/>
    <col min="20" max="20" width="6.7109375" style="339" customWidth="1"/>
    <col min="21" max="21" width="12.7109375" style="338" customWidth="1"/>
    <col min="22" max="22" width="4.85546875" style="337" customWidth="1"/>
    <col min="23" max="23" width="11.140625" style="336" customWidth="1"/>
    <col min="24" max="24" width="12.7109375" customWidth="1"/>
    <col min="25" max="25" width="7.7109375" style="334" customWidth="1"/>
    <col min="26" max="26" width="7.7109375" style="335" customWidth="1"/>
    <col min="27" max="27" width="14.7109375" customWidth="1"/>
    <col min="28" max="28" width="35.7109375" customWidth="1"/>
    <col min="29" max="29" width="11.7109375" style="335" customWidth="1"/>
    <col min="30" max="30" width="7.7109375" style="334" customWidth="1"/>
    <col min="31" max="31" width="2.7109375" customWidth="1"/>
    <col min="257" max="257" width="3.7109375" customWidth="1"/>
    <col min="258" max="258" width="11.7109375" customWidth="1"/>
    <col min="259" max="259" width="7.7109375" customWidth="1"/>
    <col min="260" max="260" width="10.28515625" customWidth="1"/>
    <col min="261" max="261" width="24.7109375" customWidth="1"/>
    <col min="262" max="262" width="4.7109375" customWidth="1"/>
    <col min="263" max="263" width="16.28515625" customWidth="1"/>
    <col min="264" max="264" width="13.7109375" customWidth="1"/>
    <col min="265" max="265" width="11.7109375" customWidth="1"/>
    <col min="266" max="266" width="13.7109375" customWidth="1"/>
    <col min="267" max="278" width="0" hidden="1" customWidth="1"/>
    <col min="279" max="279" width="11.140625" customWidth="1"/>
    <col min="280" max="280" width="12.7109375" customWidth="1"/>
    <col min="281" max="282" width="7.7109375" customWidth="1"/>
    <col min="283" max="283" width="14.7109375" customWidth="1"/>
    <col min="284" max="284" width="35.7109375" customWidth="1"/>
    <col min="285" max="285" width="11.7109375" customWidth="1"/>
    <col min="286" max="286" width="7.7109375" customWidth="1"/>
    <col min="287" max="287" width="2.7109375" customWidth="1"/>
    <col min="513" max="513" width="3.7109375" customWidth="1"/>
    <col min="514" max="514" width="11.7109375" customWidth="1"/>
    <col min="515" max="515" width="7.7109375" customWidth="1"/>
    <col min="516" max="516" width="10.28515625" customWidth="1"/>
    <col min="517" max="517" width="24.7109375" customWidth="1"/>
    <col min="518" max="518" width="4.7109375" customWidth="1"/>
    <col min="519" max="519" width="16.28515625" customWidth="1"/>
    <col min="520" max="520" width="13.7109375" customWidth="1"/>
    <col min="521" max="521" width="11.7109375" customWidth="1"/>
    <col min="522" max="522" width="13.7109375" customWidth="1"/>
    <col min="523" max="534" width="0" hidden="1" customWidth="1"/>
    <col min="535" max="535" width="11.140625" customWidth="1"/>
    <col min="536" max="536" width="12.7109375" customWidth="1"/>
    <col min="537" max="538" width="7.7109375" customWidth="1"/>
    <col min="539" max="539" width="14.7109375" customWidth="1"/>
    <col min="540" max="540" width="35.7109375" customWidth="1"/>
    <col min="541" max="541" width="11.7109375" customWidth="1"/>
    <col min="542" max="542" width="7.7109375" customWidth="1"/>
    <col min="543" max="543" width="2.7109375" customWidth="1"/>
    <col min="769" max="769" width="3.7109375" customWidth="1"/>
    <col min="770" max="770" width="11.7109375" customWidth="1"/>
    <col min="771" max="771" width="7.7109375" customWidth="1"/>
    <col min="772" max="772" width="10.28515625" customWidth="1"/>
    <col min="773" max="773" width="24.7109375" customWidth="1"/>
    <col min="774" max="774" width="4.7109375" customWidth="1"/>
    <col min="775" max="775" width="16.28515625" customWidth="1"/>
    <col min="776" max="776" width="13.7109375" customWidth="1"/>
    <col min="777" max="777" width="11.7109375" customWidth="1"/>
    <col min="778" max="778" width="13.7109375" customWidth="1"/>
    <col min="779" max="790" width="0" hidden="1" customWidth="1"/>
    <col min="791" max="791" width="11.140625" customWidth="1"/>
    <col min="792" max="792" width="12.7109375" customWidth="1"/>
    <col min="793" max="794" width="7.7109375" customWidth="1"/>
    <col min="795" max="795" width="14.7109375" customWidth="1"/>
    <col min="796" max="796" width="35.7109375" customWidth="1"/>
    <col min="797" max="797" width="11.7109375" customWidth="1"/>
    <col min="798" max="798" width="7.7109375" customWidth="1"/>
    <col min="799" max="799" width="2.7109375" customWidth="1"/>
    <col min="1025" max="1025" width="3.7109375" customWidth="1"/>
    <col min="1026" max="1026" width="11.7109375" customWidth="1"/>
    <col min="1027" max="1027" width="7.7109375" customWidth="1"/>
    <col min="1028" max="1028" width="10.28515625" customWidth="1"/>
    <col min="1029" max="1029" width="24.7109375" customWidth="1"/>
    <col min="1030" max="1030" width="4.7109375" customWidth="1"/>
    <col min="1031" max="1031" width="16.28515625" customWidth="1"/>
    <col min="1032" max="1032" width="13.7109375" customWidth="1"/>
    <col min="1033" max="1033" width="11.7109375" customWidth="1"/>
    <col min="1034" max="1034" width="13.7109375" customWidth="1"/>
    <col min="1035" max="1046" width="0" hidden="1" customWidth="1"/>
    <col min="1047" max="1047" width="11.140625" customWidth="1"/>
    <col min="1048" max="1048" width="12.7109375" customWidth="1"/>
    <col min="1049" max="1050" width="7.7109375" customWidth="1"/>
    <col min="1051" max="1051" width="14.7109375" customWidth="1"/>
    <col min="1052" max="1052" width="35.7109375" customWidth="1"/>
    <col min="1053" max="1053" width="11.7109375" customWidth="1"/>
    <col min="1054" max="1054" width="7.7109375" customWidth="1"/>
    <col min="1055" max="1055" width="2.7109375" customWidth="1"/>
    <col min="1281" max="1281" width="3.7109375" customWidth="1"/>
    <col min="1282" max="1282" width="11.7109375" customWidth="1"/>
    <col min="1283" max="1283" width="7.7109375" customWidth="1"/>
    <col min="1284" max="1284" width="10.28515625" customWidth="1"/>
    <col min="1285" max="1285" width="24.7109375" customWidth="1"/>
    <col min="1286" max="1286" width="4.7109375" customWidth="1"/>
    <col min="1287" max="1287" width="16.28515625" customWidth="1"/>
    <col min="1288" max="1288" width="13.7109375" customWidth="1"/>
    <col min="1289" max="1289" width="11.7109375" customWidth="1"/>
    <col min="1290" max="1290" width="13.7109375" customWidth="1"/>
    <col min="1291" max="1302" width="0" hidden="1" customWidth="1"/>
    <col min="1303" max="1303" width="11.140625" customWidth="1"/>
    <col min="1304" max="1304" width="12.7109375" customWidth="1"/>
    <col min="1305" max="1306" width="7.7109375" customWidth="1"/>
    <col min="1307" max="1307" width="14.7109375" customWidth="1"/>
    <col min="1308" max="1308" width="35.7109375" customWidth="1"/>
    <col min="1309" max="1309" width="11.7109375" customWidth="1"/>
    <col min="1310" max="1310" width="7.7109375" customWidth="1"/>
    <col min="1311" max="1311" width="2.7109375" customWidth="1"/>
    <col min="1537" max="1537" width="3.7109375" customWidth="1"/>
    <col min="1538" max="1538" width="11.7109375" customWidth="1"/>
    <col min="1539" max="1539" width="7.7109375" customWidth="1"/>
    <col min="1540" max="1540" width="10.28515625" customWidth="1"/>
    <col min="1541" max="1541" width="24.7109375" customWidth="1"/>
    <col min="1542" max="1542" width="4.7109375" customWidth="1"/>
    <col min="1543" max="1543" width="16.28515625" customWidth="1"/>
    <col min="1544" max="1544" width="13.7109375" customWidth="1"/>
    <col min="1545" max="1545" width="11.7109375" customWidth="1"/>
    <col min="1546" max="1546" width="13.7109375" customWidth="1"/>
    <col min="1547" max="1558" width="0" hidden="1" customWidth="1"/>
    <col min="1559" max="1559" width="11.140625" customWidth="1"/>
    <col min="1560" max="1560" width="12.7109375" customWidth="1"/>
    <col min="1561" max="1562" width="7.7109375" customWidth="1"/>
    <col min="1563" max="1563" width="14.7109375" customWidth="1"/>
    <col min="1564" max="1564" width="35.7109375" customWidth="1"/>
    <col min="1565" max="1565" width="11.7109375" customWidth="1"/>
    <col min="1566" max="1566" width="7.7109375" customWidth="1"/>
    <col min="1567" max="1567" width="2.7109375" customWidth="1"/>
    <col min="1793" max="1793" width="3.7109375" customWidth="1"/>
    <col min="1794" max="1794" width="11.7109375" customWidth="1"/>
    <col min="1795" max="1795" width="7.7109375" customWidth="1"/>
    <col min="1796" max="1796" width="10.28515625" customWidth="1"/>
    <col min="1797" max="1797" width="24.7109375" customWidth="1"/>
    <col min="1798" max="1798" width="4.7109375" customWidth="1"/>
    <col min="1799" max="1799" width="16.28515625" customWidth="1"/>
    <col min="1800" max="1800" width="13.7109375" customWidth="1"/>
    <col min="1801" max="1801" width="11.7109375" customWidth="1"/>
    <col min="1802" max="1802" width="13.7109375" customWidth="1"/>
    <col min="1803" max="1814" width="0" hidden="1" customWidth="1"/>
    <col min="1815" max="1815" width="11.140625" customWidth="1"/>
    <col min="1816" max="1816" width="12.7109375" customWidth="1"/>
    <col min="1817" max="1818" width="7.7109375" customWidth="1"/>
    <col min="1819" max="1819" width="14.7109375" customWidth="1"/>
    <col min="1820" max="1820" width="35.7109375" customWidth="1"/>
    <col min="1821" max="1821" width="11.7109375" customWidth="1"/>
    <col min="1822" max="1822" width="7.7109375" customWidth="1"/>
    <col min="1823" max="1823" width="2.7109375" customWidth="1"/>
    <col min="2049" max="2049" width="3.7109375" customWidth="1"/>
    <col min="2050" max="2050" width="11.7109375" customWidth="1"/>
    <col min="2051" max="2051" width="7.7109375" customWidth="1"/>
    <col min="2052" max="2052" width="10.28515625" customWidth="1"/>
    <col min="2053" max="2053" width="24.7109375" customWidth="1"/>
    <col min="2054" max="2054" width="4.7109375" customWidth="1"/>
    <col min="2055" max="2055" width="16.28515625" customWidth="1"/>
    <col min="2056" max="2056" width="13.7109375" customWidth="1"/>
    <col min="2057" max="2057" width="11.7109375" customWidth="1"/>
    <col min="2058" max="2058" width="13.7109375" customWidth="1"/>
    <col min="2059" max="2070" width="0" hidden="1" customWidth="1"/>
    <col min="2071" max="2071" width="11.140625" customWidth="1"/>
    <col min="2072" max="2072" width="12.7109375" customWidth="1"/>
    <col min="2073" max="2074" width="7.7109375" customWidth="1"/>
    <col min="2075" max="2075" width="14.7109375" customWidth="1"/>
    <col min="2076" max="2076" width="35.7109375" customWidth="1"/>
    <col min="2077" max="2077" width="11.7109375" customWidth="1"/>
    <col min="2078" max="2078" width="7.7109375" customWidth="1"/>
    <col min="2079" max="2079" width="2.7109375" customWidth="1"/>
    <col min="2305" max="2305" width="3.7109375" customWidth="1"/>
    <col min="2306" max="2306" width="11.7109375" customWidth="1"/>
    <col min="2307" max="2307" width="7.7109375" customWidth="1"/>
    <col min="2308" max="2308" width="10.28515625" customWidth="1"/>
    <col min="2309" max="2309" width="24.7109375" customWidth="1"/>
    <col min="2310" max="2310" width="4.7109375" customWidth="1"/>
    <col min="2311" max="2311" width="16.28515625" customWidth="1"/>
    <col min="2312" max="2312" width="13.7109375" customWidth="1"/>
    <col min="2313" max="2313" width="11.7109375" customWidth="1"/>
    <col min="2314" max="2314" width="13.7109375" customWidth="1"/>
    <col min="2315" max="2326" width="0" hidden="1" customWidth="1"/>
    <col min="2327" max="2327" width="11.140625" customWidth="1"/>
    <col min="2328" max="2328" width="12.7109375" customWidth="1"/>
    <col min="2329" max="2330" width="7.7109375" customWidth="1"/>
    <col min="2331" max="2331" width="14.7109375" customWidth="1"/>
    <col min="2332" max="2332" width="35.7109375" customWidth="1"/>
    <col min="2333" max="2333" width="11.7109375" customWidth="1"/>
    <col min="2334" max="2334" width="7.7109375" customWidth="1"/>
    <col min="2335" max="2335" width="2.7109375" customWidth="1"/>
    <col min="2561" max="2561" width="3.7109375" customWidth="1"/>
    <col min="2562" max="2562" width="11.7109375" customWidth="1"/>
    <col min="2563" max="2563" width="7.7109375" customWidth="1"/>
    <col min="2564" max="2564" width="10.28515625" customWidth="1"/>
    <col min="2565" max="2565" width="24.7109375" customWidth="1"/>
    <col min="2566" max="2566" width="4.7109375" customWidth="1"/>
    <col min="2567" max="2567" width="16.28515625" customWidth="1"/>
    <col min="2568" max="2568" width="13.7109375" customWidth="1"/>
    <col min="2569" max="2569" width="11.7109375" customWidth="1"/>
    <col min="2570" max="2570" width="13.7109375" customWidth="1"/>
    <col min="2571" max="2582" width="0" hidden="1" customWidth="1"/>
    <col min="2583" max="2583" width="11.140625" customWidth="1"/>
    <col min="2584" max="2584" width="12.7109375" customWidth="1"/>
    <col min="2585" max="2586" width="7.7109375" customWidth="1"/>
    <col min="2587" max="2587" width="14.7109375" customWidth="1"/>
    <col min="2588" max="2588" width="35.7109375" customWidth="1"/>
    <col min="2589" max="2589" width="11.7109375" customWidth="1"/>
    <col min="2590" max="2590" width="7.7109375" customWidth="1"/>
    <col min="2591" max="2591" width="2.7109375" customWidth="1"/>
    <col min="2817" max="2817" width="3.7109375" customWidth="1"/>
    <col min="2818" max="2818" width="11.7109375" customWidth="1"/>
    <col min="2819" max="2819" width="7.7109375" customWidth="1"/>
    <col min="2820" max="2820" width="10.28515625" customWidth="1"/>
    <col min="2821" max="2821" width="24.7109375" customWidth="1"/>
    <col min="2822" max="2822" width="4.7109375" customWidth="1"/>
    <col min="2823" max="2823" width="16.28515625" customWidth="1"/>
    <col min="2824" max="2824" width="13.7109375" customWidth="1"/>
    <col min="2825" max="2825" width="11.7109375" customWidth="1"/>
    <col min="2826" max="2826" width="13.7109375" customWidth="1"/>
    <col min="2827" max="2838" width="0" hidden="1" customWidth="1"/>
    <col min="2839" max="2839" width="11.140625" customWidth="1"/>
    <col min="2840" max="2840" width="12.7109375" customWidth="1"/>
    <col min="2841" max="2842" width="7.7109375" customWidth="1"/>
    <col min="2843" max="2843" width="14.7109375" customWidth="1"/>
    <col min="2844" max="2844" width="35.7109375" customWidth="1"/>
    <col min="2845" max="2845" width="11.7109375" customWidth="1"/>
    <col min="2846" max="2846" width="7.7109375" customWidth="1"/>
    <col min="2847" max="2847" width="2.7109375" customWidth="1"/>
    <col min="3073" max="3073" width="3.7109375" customWidth="1"/>
    <col min="3074" max="3074" width="11.7109375" customWidth="1"/>
    <col min="3075" max="3075" width="7.7109375" customWidth="1"/>
    <col min="3076" max="3076" width="10.28515625" customWidth="1"/>
    <col min="3077" max="3077" width="24.7109375" customWidth="1"/>
    <col min="3078" max="3078" width="4.7109375" customWidth="1"/>
    <col min="3079" max="3079" width="16.28515625" customWidth="1"/>
    <col min="3080" max="3080" width="13.7109375" customWidth="1"/>
    <col min="3081" max="3081" width="11.7109375" customWidth="1"/>
    <col min="3082" max="3082" width="13.7109375" customWidth="1"/>
    <col min="3083" max="3094" width="0" hidden="1" customWidth="1"/>
    <col min="3095" max="3095" width="11.140625" customWidth="1"/>
    <col min="3096" max="3096" width="12.7109375" customWidth="1"/>
    <col min="3097" max="3098" width="7.7109375" customWidth="1"/>
    <col min="3099" max="3099" width="14.7109375" customWidth="1"/>
    <col min="3100" max="3100" width="35.7109375" customWidth="1"/>
    <col min="3101" max="3101" width="11.7109375" customWidth="1"/>
    <col min="3102" max="3102" width="7.7109375" customWidth="1"/>
    <col min="3103" max="3103" width="2.7109375" customWidth="1"/>
    <col min="3329" max="3329" width="3.7109375" customWidth="1"/>
    <col min="3330" max="3330" width="11.7109375" customWidth="1"/>
    <col min="3331" max="3331" width="7.7109375" customWidth="1"/>
    <col min="3332" max="3332" width="10.28515625" customWidth="1"/>
    <col min="3333" max="3333" width="24.7109375" customWidth="1"/>
    <col min="3334" max="3334" width="4.7109375" customWidth="1"/>
    <col min="3335" max="3335" width="16.28515625" customWidth="1"/>
    <col min="3336" max="3336" width="13.7109375" customWidth="1"/>
    <col min="3337" max="3337" width="11.7109375" customWidth="1"/>
    <col min="3338" max="3338" width="13.7109375" customWidth="1"/>
    <col min="3339" max="3350" width="0" hidden="1" customWidth="1"/>
    <col min="3351" max="3351" width="11.140625" customWidth="1"/>
    <col min="3352" max="3352" width="12.7109375" customWidth="1"/>
    <col min="3353" max="3354" width="7.7109375" customWidth="1"/>
    <col min="3355" max="3355" width="14.7109375" customWidth="1"/>
    <col min="3356" max="3356" width="35.7109375" customWidth="1"/>
    <col min="3357" max="3357" width="11.7109375" customWidth="1"/>
    <col min="3358" max="3358" width="7.7109375" customWidth="1"/>
    <col min="3359" max="3359" width="2.7109375" customWidth="1"/>
    <col min="3585" max="3585" width="3.7109375" customWidth="1"/>
    <col min="3586" max="3586" width="11.7109375" customWidth="1"/>
    <col min="3587" max="3587" width="7.7109375" customWidth="1"/>
    <col min="3588" max="3588" width="10.28515625" customWidth="1"/>
    <col min="3589" max="3589" width="24.7109375" customWidth="1"/>
    <col min="3590" max="3590" width="4.7109375" customWidth="1"/>
    <col min="3591" max="3591" width="16.28515625" customWidth="1"/>
    <col min="3592" max="3592" width="13.7109375" customWidth="1"/>
    <col min="3593" max="3593" width="11.7109375" customWidth="1"/>
    <col min="3594" max="3594" width="13.7109375" customWidth="1"/>
    <col min="3595" max="3606" width="0" hidden="1" customWidth="1"/>
    <col min="3607" max="3607" width="11.140625" customWidth="1"/>
    <col min="3608" max="3608" width="12.7109375" customWidth="1"/>
    <col min="3609" max="3610" width="7.7109375" customWidth="1"/>
    <col min="3611" max="3611" width="14.7109375" customWidth="1"/>
    <col min="3612" max="3612" width="35.7109375" customWidth="1"/>
    <col min="3613" max="3613" width="11.7109375" customWidth="1"/>
    <col min="3614" max="3614" width="7.7109375" customWidth="1"/>
    <col min="3615" max="3615" width="2.7109375" customWidth="1"/>
    <col min="3841" max="3841" width="3.7109375" customWidth="1"/>
    <col min="3842" max="3842" width="11.7109375" customWidth="1"/>
    <col min="3843" max="3843" width="7.7109375" customWidth="1"/>
    <col min="3844" max="3844" width="10.28515625" customWidth="1"/>
    <col min="3845" max="3845" width="24.7109375" customWidth="1"/>
    <col min="3846" max="3846" width="4.7109375" customWidth="1"/>
    <col min="3847" max="3847" width="16.28515625" customWidth="1"/>
    <col min="3848" max="3848" width="13.7109375" customWidth="1"/>
    <col min="3849" max="3849" width="11.7109375" customWidth="1"/>
    <col min="3850" max="3850" width="13.7109375" customWidth="1"/>
    <col min="3851" max="3862" width="0" hidden="1" customWidth="1"/>
    <col min="3863" max="3863" width="11.140625" customWidth="1"/>
    <col min="3864" max="3864" width="12.7109375" customWidth="1"/>
    <col min="3865" max="3866" width="7.7109375" customWidth="1"/>
    <col min="3867" max="3867" width="14.7109375" customWidth="1"/>
    <col min="3868" max="3868" width="35.7109375" customWidth="1"/>
    <col min="3869" max="3869" width="11.7109375" customWidth="1"/>
    <col min="3870" max="3870" width="7.7109375" customWidth="1"/>
    <col min="3871" max="3871" width="2.7109375" customWidth="1"/>
    <col min="4097" max="4097" width="3.7109375" customWidth="1"/>
    <col min="4098" max="4098" width="11.7109375" customWidth="1"/>
    <col min="4099" max="4099" width="7.7109375" customWidth="1"/>
    <col min="4100" max="4100" width="10.28515625" customWidth="1"/>
    <col min="4101" max="4101" width="24.7109375" customWidth="1"/>
    <col min="4102" max="4102" width="4.7109375" customWidth="1"/>
    <col min="4103" max="4103" width="16.28515625" customWidth="1"/>
    <col min="4104" max="4104" width="13.7109375" customWidth="1"/>
    <col min="4105" max="4105" width="11.7109375" customWidth="1"/>
    <col min="4106" max="4106" width="13.7109375" customWidth="1"/>
    <col min="4107" max="4118" width="0" hidden="1" customWidth="1"/>
    <col min="4119" max="4119" width="11.140625" customWidth="1"/>
    <col min="4120" max="4120" width="12.7109375" customWidth="1"/>
    <col min="4121" max="4122" width="7.7109375" customWidth="1"/>
    <col min="4123" max="4123" width="14.7109375" customWidth="1"/>
    <col min="4124" max="4124" width="35.7109375" customWidth="1"/>
    <col min="4125" max="4125" width="11.7109375" customWidth="1"/>
    <col min="4126" max="4126" width="7.7109375" customWidth="1"/>
    <col min="4127" max="4127" width="2.7109375" customWidth="1"/>
    <col min="4353" max="4353" width="3.7109375" customWidth="1"/>
    <col min="4354" max="4354" width="11.7109375" customWidth="1"/>
    <col min="4355" max="4355" width="7.7109375" customWidth="1"/>
    <col min="4356" max="4356" width="10.28515625" customWidth="1"/>
    <col min="4357" max="4357" width="24.7109375" customWidth="1"/>
    <col min="4358" max="4358" width="4.7109375" customWidth="1"/>
    <col min="4359" max="4359" width="16.28515625" customWidth="1"/>
    <col min="4360" max="4360" width="13.7109375" customWidth="1"/>
    <col min="4361" max="4361" width="11.7109375" customWidth="1"/>
    <col min="4362" max="4362" width="13.7109375" customWidth="1"/>
    <col min="4363" max="4374" width="0" hidden="1" customWidth="1"/>
    <col min="4375" max="4375" width="11.140625" customWidth="1"/>
    <col min="4376" max="4376" width="12.7109375" customWidth="1"/>
    <col min="4377" max="4378" width="7.7109375" customWidth="1"/>
    <col min="4379" max="4379" width="14.7109375" customWidth="1"/>
    <col min="4380" max="4380" width="35.7109375" customWidth="1"/>
    <col min="4381" max="4381" width="11.7109375" customWidth="1"/>
    <col min="4382" max="4382" width="7.7109375" customWidth="1"/>
    <col min="4383" max="4383" width="2.7109375" customWidth="1"/>
    <col min="4609" max="4609" width="3.7109375" customWidth="1"/>
    <col min="4610" max="4610" width="11.7109375" customWidth="1"/>
    <col min="4611" max="4611" width="7.7109375" customWidth="1"/>
    <col min="4612" max="4612" width="10.28515625" customWidth="1"/>
    <col min="4613" max="4613" width="24.7109375" customWidth="1"/>
    <col min="4614" max="4614" width="4.7109375" customWidth="1"/>
    <col min="4615" max="4615" width="16.28515625" customWidth="1"/>
    <col min="4616" max="4616" width="13.7109375" customWidth="1"/>
    <col min="4617" max="4617" width="11.7109375" customWidth="1"/>
    <col min="4618" max="4618" width="13.7109375" customWidth="1"/>
    <col min="4619" max="4630" width="0" hidden="1" customWidth="1"/>
    <col min="4631" max="4631" width="11.140625" customWidth="1"/>
    <col min="4632" max="4632" width="12.7109375" customWidth="1"/>
    <col min="4633" max="4634" width="7.7109375" customWidth="1"/>
    <col min="4635" max="4635" width="14.7109375" customWidth="1"/>
    <col min="4636" max="4636" width="35.7109375" customWidth="1"/>
    <col min="4637" max="4637" width="11.7109375" customWidth="1"/>
    <col min="4638" max="4638" width="7.7109375" customWidth="1"/>
    <col min="4639" max="4639" width="2.7109375" customWidth="1"/>
    <col min="4865" max="4865" width="3.7109375" customWidth="1"/>
    <col min="4866" max="4866" width="11.7109375" customWidth="1"/>
    <col min="4867" max="4867" width="7.7109375" customWidth="1"/>
    <col min="4868" max="4868" width="10.28515625" customWidth="1"/>
    <col min="4869" max="4869" width="24.7109375" customWidth="1"/>
    <col min="4870" max="4870" width="4.7109375" customWidth="1"/>
    <col min="4871" max="4871" width="16.28515625" customWidth="1"/>
    <col min="4872" max="4872" width="13.7109375" customWidth="1"/>
    <col min="4873" max="4873" width="11.7109375" customWidth="1"/>
    <col min="4874" max="4874" width="13.7109375" customWidth="1"/>
    <col min="4875" max="4886" width="0" hidden="1" customWidth="1"/>
    <col min="4887" max="4887" width="11.140625" customWidth="1"/>
    <col min="4888" max="4888" width="12.7109375" customWidth="1"/>
    <col min="4889" max="4890" width="7.7109375" customWidth="1"/>
    <col min="4891" max="4891" width="14.7109375" customWidth="1"/>
    <col min="4892" max="4892" width="35.7109375" customWidth="1"/>
    <col min="4893" max="4893" width="11.7109375" customWidth="1"/>
    <col min="4894" max="4894" width="7.7109375" customWidth="1"/>
    <col min="4895" max="4895" width="2.7109375" customWidth="1"/>
    <col min="5121" max="5121" width="3.7109375" customWidth="1"/>
    <col min="5122" max="5122" width="11.7109375" customWidth="1"/>
    <col min="5123" max="5123" width="7.7109375" customWidth="1"/>
    <col min="5124" max="5124" width="10.28515625" customWidth="1"/>
    <col min="5125" max="5125" width="24.7109375" customWidth="1"/>
    <col min="5126" max="5126" width="4.7109375" customWidth="1"/>
    <col min="5127" max="5127" width="16.28515625" customWidth="1"/>
    <col min="5128" max="5128" width="13.7109375" customWidth="1"/>
    <col min="5129" max="5129" width="11.7109375" customWidth="1"/>
    <col min="5130" max="5130" width="13.7109375" customWidth="1"/>
    <col min="5131" max="5142" width="0" hidden="1" customWidth="1"/>
    <col min="5143" max="5143" width="11.140625" customWidth="1"/>
    <col min="5144" max="5144" width="12.7109375" customWidth="1"/>
    <col min="5145" max="5146" width="7.7109375" customWidth="1"/>
    <col min="5147" max="5147" width="14.7109375" customWidth="1"/>
    <col min="5148" max="5148" width="35.7109375" customWidth="1"/>
    <col min="5149" max="5149" width="11.7109375" customWidth="1"/>
    <col min="5150" max="5150" width="7.7109375" customWidth="1"/>
    <col min="5151" max="5151" width="2.7109375" customWidth="1"/>
    <col min="5377" max="5377" width="3.7109375" customWidth="1"/>
    <col min="5378" max="5378" width="11.7109375" customWidth="1"/>
    <col min="5379" max="5379" width="7.7109375" customWidth="1"/>
    <col min="5380" max="5380" width="10.28515625" customWidth="1"/>
    <col min="5381" max="5381" width="24.7109375" customWidth="1"/>
    <col min="5382" max="5382" width="4.7109375" customWidth="1"/>
    <col min="5383" max="5383" width="16.28515625" customWidth="1"/>
    <col min="5384" max="5384" width="13.7109375" customWidth="1"/>
    <col min="5385" max="5385" width="11.7109375" customWidth="1"/>
    <col min="5386" max="5386" width="13.7109375" customWidth="1"/>
    <col min="5387" max="5398" width="0" hidden="1" customWidth="1"/>
    <col min="5399" max="5399" width="11.140625" customWidth="1"/>
    <col min="5400" max="5400" width="12.7109375" customWidth="1"/>
    <col min="5401" max="5402" width="7.7109375" customWidth="1"/>
    <col min="5403" max="5403" width="14.7109375" customWidth="1"/>
    <col min="5404" max="5404" width="35.7109375" customWidth="1"/>
    <col min="5405" max="5405" width="11.7109375" customWidth="1"/>
    <col min="5406" max="5406" width="7.7109375" customWidth="1"/>
    <col min="5407" max="5407" width="2.7109375" customWidth="1"/>
    <col min="5633" max="5633" width="3.7109375" customWidth="1"/>
    <col min="5634" max="5634" width="11.7109375" customWidth="1"/>
    <col min="5635" max="5635" width="7.7109375" customWidth="1"/>
    <col min="5636" max="5636" width="10.28515625" customWidth="1"/>
    <col min="5637" max="5637" width="24.7109375" customWidth="1"/>
    <col min="5638" max="5638" width="4.7109375" customWidth="1"/>
    <col min="5639" max="5639" width="16.28515625" customWidth="1"/>
    <col min="5640" max="5640" width="13.7109375" customWidth="1"/>
    <col min="5641" max="5641" width="11.7109375" customWidth="1"/>
    <col min="5642" max="5642" width="13.7109375" customWidth="1"/>
    <col min="5643" max="5654" width="0" hidden="1" customWidth="1"/>
    <col min="5655" max="5655" width="11.140625" customWidth="1"/>
    <col min="5656" max="5656" width="12.7109375" customWidth="1"/>
    <col min="5657" max="5658" width="7.7109375" customWidth="1"/>
    <col min="5659" max="5659" width="14.7109375" customWidth="1"/>
    <col min="5660" max="5660" width="35.7109375" customWidth="1"/>
    <col min="5661" max="5661" width="11.7109375" customWidth="1"/>
    <col min="5662" max="5662" width="7.7109375" customWidth="1"/>
    <col min="5663" max="5663" width="2.7109375" customWidth="1"/>
    <col min="5889" max="5889" width="3.7109375" customWidth="1"/>
    <col min="5890" max="5890" width="11.7109375" customWidth="1"/>
    <col min="5891" max="5891" width="7.7109375" customWidth="1"/>
    <col min="5892" max="5892" width="10.28515625" customWidth="1"/>
    <col min="5893" max="5893" width="24.7109375" customWidth="1"/>
    <col min="5894" max="5894" width="4.7109375" customWidth="1"/>
    <col min="5895" max="5895" width="16.28515625" customWidth="1"/>
    <col min="5896" max="5896" width="13.7109375" customWidth="1"/>
    <col min="5897" max="5897" width="11.7109375" customWidth="1"/>
    <col min="5898" max="5898" width="13.7109375" customWidth="1"/>
    <col min="5899" max="5910" width="0" hidden="1" customWidth="1"/>
    <col min="5911" max="5911" width="11.140625" customWidth="1"/>
    <col min="5912" max="5912" width="12.7109375" customWidth="1"/>
    <col min="5913" max="5914" width="7.7109375" customWidth="1"/>
    <col min="5915" max="5915" width="14.7109375" customWidth="1"/>
    <col min="5916" max="5916" width="35.7109375" customWidth="1"/>
    <col min="5917" max="5917" width="11.7109375" customWidth="1"/>
    <col min="5918" max="5918" width="7.7109375" customWidth="1"/>
    <col min="5919" max="5919" width="2.7109375" customWidth="1"/>
    <col min="6145" max="6145" width="3.7109375" customWidth="1"/>
    <col min="6146" max="6146" width="11.7109375" customWidth="1"/>
    <col min="6147" max="6147" width="7.7109375" customWidth="1"/>
    <col min="6148" max="6148" width="10.28515625" customWidth="1"/>
    <col min="6149" max="6149" width="24.7109375" customWidth="1"/>
    <col min="6150" max="6150" width="4.7109375" customWidth="1"/>
    <col min="6151" max="6151" width="16.28515625" customWidth="1"/>
    <col min="6152" max="6152" width="13.7109375" customWidth="1"/>
    <col min="6153" max="6153" width="11.7109375" customWidth="1"/>
    <col min="6154" max="6154" width="13.7109375" customWidth="1"/>
    <col min="6155" max="6166" width="0" hidden="1" customWidth="1"/>
    <col min="6167" max="6167" width="11.140625" customWidth="1"/>
    <col min="6168" max="6168" width="12.7109375" customWidth="1"/>
    <col min="6169" max="6170" width="7.7109375" customWidth="1"/>
    <col min="6171" max="6171" width="14.7109375" customWidth="1"/>
    <col min="6172" max="6172" width="35.7109375" customWidth="1"/>
    <col min="6173" max="6173" width="11.7109375" customWidth="1"/>
    <col min="6174" max="6174" width="7.7109375" customWidth="1"/>
    <col min="6175" max="6175" width="2.7109375" customWidth="1"/>
    <col min="6401" max="6401" width="3.7109375" customWidth="1"/>
    <col min="6402" max="6402" width="11.7109375" customWidth="1"/>
    <col min="6403" max="6403" width="7.7109375" customWidth="1"/>
    <col min="6404" max="6404" width="10.28515625" customWidth="1"/>
    <col min="6405" max="6405" width="24.7109375" customWidth="1"/>
    <col min="6406" max="6406" width="4.7109375" customWidth="1"/>
    <col min="6407" max="6407" width="16.28515625" customWidth="1"/>
    <col min="6408" max="6408" width="13.7109375" customWidth="1"/>
    <col min="6409" max="6409" width="11.7109375" customWidth="1"/>
    <col min="6410" max="6410" width="13.7109375" customWidth="1"/>
    <col min="6411" max="6422" width="0" hidden="1" customWidth="1"/>
    <col min="6423" max="6423" width="11.140625" customWidth="1"/>
    <col min="6424" max="6424" width="12.7109375" customWidth="1"/>
    <col min="6425" max="6426" width="7.7109375" customWidth="1"/>
    <col min="6427" max="6427" width="14.7109375" customWidth="1"/>
    <col min="6428" max="6428" width="35.7109375" customWidth="1"/>
    <col min="6429" max="6429" width="11.7109375" customWidth="1"/>
    <col min="6430" max="6430" width="7.7109375" customWidth="1"/>
    <col min="6431" max="6431" width="2.7109375" customWidth="1"/>
    <col min="6657" max="6657" width="3.7109375" customWidth="1"/>
    <col min="6658" max="6658" width="11.7109375" customWidth="1"/>
    <col min="6659" max="6659" width="7.7109375" customWidth="1"/>
    <col min="6660" max="6660" width="10.28515625" customWidth="1"/>
    <col min="6661" max="6661" width="24.7109375" customWidth="1"/>
    <col min="6662" max="6662" width="4.7109375" customWidth="1"/>
    <col min="6663" max="6663" width="16.28515625" customWidth="1"/>
    <col min="6664" max="6664" width="13.7109375" customWidth="1"/>
    <col min="6665" max="6665" width="11.7109375" customWidth="1"/>
    <col min="6666" max="6666" width="13.7109375" customWidth="1"/>
    <col min="6667" max="6678" width="0" hidden="1" customWidth="1"/>
    <col min="6679" max="6679" width="11.140625" customWidth="1"/>
    <col min="6680" max="6680" width="12.7109375" customWidth="1"/>
    <col min="6681" max="6682" width="7.7109375" customWidth="1"/>
    <col min="6683" max="6683" width="14.7109375" customWidth="1"/>
    <col min="6684" max="6684" width="35.7109375" customWidth="1"/>
    <col min="6685" max="6685" width="11.7109375" customWidth="1"/>
    <col min="6686" max="6686" width="7.7109375" customWidth="1"/>
    <col min="6687" max="6687" width="2.7109375" customWidth="1"/>
    <col min="6913" max="6913" width="3.7109375" customWidth="1"/>
    <col min="6914" max="6914" width="11.7109375" customWidth="1"/>
    <col min="6915" max="6915" width="7.7109375" customWidth="1"/>
    <col min="6916" max="6916" width="10.28515625" customWidth="1"/>
    <col min="6917" max="6917" width="24.7109375" customWidth="1"/>
    <col min="6918" max="6918" width="4.7109375" customWidth="1"/>
    <col min="6919" max="6919" width="16.28515625" customWidth="1"/>
    <col min="6920" max="6920" width="13.7109375" customWidth="1"/>
    <col min="6921" max="6921" width="11.7109375" customWidth="1"/>
    <col min="6922" max="6922" width="13.7109375" customWidth="1"/>
    <col min="6923" max="6934" width="0" hidden="1" customWidth="1"/>
    <col min="6935" max="6935" width="11.140625" customWidth="1"/>
    <col min="6936" max="6936" width="12.7109375" customWidth="1"/>
    <col min="6937" max="6938" width="7.7109375" customWidth="1"/>
    <col min="6939" max="6939" width="14.7109375" customWidth="1"/>
    <col min="6940" max="6940" width="35.7109375" customWidth="1"/>
    <col min="6941" max="6941" width="11.7109375" customWidth="1"/>
    <col min="6942" max="6942" width="7.7109375" customWidth="1"/>
    <col min="6943" max="6943" width="2.7109375" customWidth="1"/>
    <col min="7169" max="7169" width="3.7109375" customWidth="1"/>
    <col min="7170" max="7170" width="11.7109375" customWidth="1"/>
    <col min="7171" max="7171" width="7.7109375" customWidth="1"/>
    <col min="7172" max="7172" width="10.28515625" customWidth="1"/>
    <col min="7173" max="7173" width="24.7109375" customWidth="1"/>
    <col min="7174" max="7174" width="4.7109375" customWidth="1"/>
    <col min="7175" max="7175" width="16.28515625" customWidth="1"/>
    <col min="7176" max="7176" width="13.7109375" customWidth="1"/>
    <col min="7177" max="7177" width="11.7109375" customWidth="1"/>
    <col min="7178" max="7178" width="13.7109375" customWidth="1"/>
    <col min="7179" max="7190" width="0" hidden="1" customWidth="1"/>
    <col min="7191" max="7191" width="11.140625" customWidth="1"/>
    <col min="7192" max="7192" width="12.7109375" customWidth="1"/>
    <col min="7193" max="7194" width="7.7109375" customWidth="1"/>
    <col min="7195" max="7195" width="14.7109375" customWidth="1"/>
    <col min="7196" max="7196" width="35.7109375" customWidth="1"/>
    <col min="7197" max="7197" width="11.7109375" customWidth="1"/>
    <col min="7198" max="7198" width="7.7109375" customWidth="1"/>
    <col min="7199" max="7199" width="2.7109375" customWidth="1"/>
    <col min="7425" max="7425" width="3.7109375" customWidth="1"/>
    <col min="7426" max="7426" width="11.7109375" customWidth="1"/>
    <col min="7427" max="7427" width="7.7109375" customWidth="1"/>
    <col min="7428" max="7428" width="10.28515625" customWidth="1"/>
    <col min="7429" max="7429" width="24.7109375" customWidth="1"/>
    <col min="7430" max="7430" width="4.7109375" customWidth="1"/>
    <col min="7431" max="7431" width="16.28515625" customWidth="1"/>
    <col min="7432" max="7432" width="13.7109375" customWidth="1"/>
    <col min="7433" max="7433" width="11.7109375" customWidth="1"/>
    <col min="7434" max="7434" width="13.7109375" customWidth="1"/>
    <col min="7435" max="7446" width="0" hidden="1" customWidth="1"/>
    <col min="7447" max="7447" width="11.140625" customWidth="1"/>
    <col min="7448" max="7448" width="12.7109375" customWidth="1"/>
    <col min="7449" max="7450" width="7.7109375" customWidth="1"/>
    <col min="7451" max="7451" width="14.7109375" customWidth="1"/>
    <col min="7452" max="7452" width="35.7109375" customWidth="1"/>
    <col min="7453" max="7453" width="11.7109375" customWidth="1"/>
    <col min="7454" max="7454" width="7.7109375" customWidth="1"/>
    <col min="7455" max="7455" width="2.7109375" customWidth="1"/>
    <col min="7681" max="7681" width="3.7109375" customWidth="1"/>
    <col min="7682" max="7682" width="11.7109375" customWidth="1"/>
    <col min="7683" max="7683" width="7.7109375" customWidth="1"/>
    <col min="7684" max="7684" width="10.28515625" customWidth="1"/>
    <col min="7685" max="7685" width="24.7109375" customWidth="1"/>
    <col min="7686" max="7686" width="4.7109375" customWidth="1"/>
    <col min="7687" max="7687" width="16.28515625" customWidth="1"/>
    <col min="7688" max="7688" width="13.7109375" customWidth="1"/>
    <col min="7689" max="7689" width="11.7109375" customWidth="1"/>
    <col min="7690" max="7690" width="13.7109375" customWidth="1"/>
    <col min="7691" max="7702" width="0" hidden="1" customWidth="1"/>
    <col min="7703" max="7703" width="11.140625" customWidth="1"/>
    <col min="7704" max="7704" width="12.7109375" customWidth="1"/>
    <col min="7705" max="7706" width="7.7109375" customWidth="1"/>
    <col min="7707" max="7707" width="14.7109375" customWidth="1"/>
    <col min="7708" max="7708" width="35.7109375" customWidth="1"/>
    <col min="7709" max="7709" width="11.7109375" customWidth="1"/>
    <col min="7710" max="7710" width="7.7109375" customWidth="1"/>
    <col min="7711" max="7711" width="2.7109375" customWidth="1"/>
    <col min="7937" max="7937" width="3.7109375" customWidth="1"/>
    <col min="7938" max="7938" width="11.7109375" customWidth="1"/>
    <col min="7939" max="7939" width="7.7109375" customWidth="1"/>
    <col min="7940" max="7940" width="10.28515625" customWidth="1"/>
    <col min="7941" max="7941" width="24.7109375" customWidth="1"/>
    <col min="7942" max="7942" width="4.7109375" customWidth="1"/>
    <col min="7943" max="7943" width="16.28515625" customWidth="1"/>
    <col min="7944" max="7944" width="13.7109375" customWidth="1"/>
    <col min="7945" max="7945" width="11.7109375" customWidth="1"/>
    <col min="7946" max="7946" width="13.7109375" customWidth="1"/>
    <col min="7947" max="7958" width="0" hidden="1" customWidth="1"/>
    <col min="7959" max="7959" width="11.140625" customWidth="1"/>
    <col min="7960" max="7960" width="12.7109375" customWidth="1"/>
    <col min="7961" max="7962" width="7.7109375" customWidth="1"/>
    <col min="7963" max="7963" width="14.7109375" customWidth="1"/>
    <col min="7964" max="7964" width="35.7109375" customWidth="1"/>
    <col min="7965" max="7965" width="11.7109375" customWidth="1"/>
    <col min="7966" max="7966" width="7.7109375" customWidth="1"/>
    <col min="7967" max="7967" width="2.7109375" customWidth="1"/>
    <col min="8193" max="8193" width="3.7109375" customWidth="1"/>
    <col min="8194" max="8194" width="11.7109375" customWidth="1"/>
    <col min="8195" max="8195" width="7.7109375" customWidth="1"/>
    <col min="8196" max="8196" width="10.28515625" customWidth="1"/>
    <col min="8197" max="8197" width="24.7109375" customWidth="1"/>
    <col min="8198" max="8198" width="4.7109375" customWidth="1"/>
    <col min="8199" max="8199" width="16.28515625" customWidth="1"/>
    <col min="8200" max="8200" width="13.7109375" customWidth="1"/>
    <col min="8201" max="8201" width="11.7109375" customWidth="1"/>
    <col min="8202" max="8202" width="13.7109375" customWidth="1"/>
    <col min="8203" max="8214" width="0" hidden="1" customWidth="1"/>
    <col min="8215" max="8215" width="11.140625" customWidth="1"/>
    <col min="8216" max="8216" width="12.7109375" customWidth="1"/>
    <col min="8217" max="8218" width="7.7109375" customWidth="1"/>
    <col min="8219" max="8219" width="14.7109375" customWidth="1"/>
    <col min="8220" max="8220" width="35.7109375" customWidth="1"/>
    <col min="8221" max="8221" width="11.7109375" customWidth="1"/>
    <col min="8222" max="8222" width="7.7109375" customWidth="1"/>
    <col min="8223" max="8223" width="2.7109375" customWidth="1"/>
    <col min="8449" max="8449" width="3.7109375" customWidth="1"/>
    <col min="8450" max="8450" width="11.7109375" customWidth="1"/>
    <col min="8451" max="8451" width="7.7109375" customWidth="1"/>
    <col min="8452" max="8452" width="10.28515625" customWidth="1"/>
    <col min="8453" max="8453" width="24.7109375" customWidth="1"/>
    <col min="8454" max="8454" width="4.7109375" customWidth="1"/>
    <col min="8455" max="8455" width="16.28515625" customWidth="1"/>
    <col min="8456" max="8456" width="13.7109375" customWidth="1"/>
    <col min="8457" max="8457" width="11.7109375" customWidth="1"/>
    <col min="8458" max="8458" width="13.7109375" customWidth="1"/>
    <col min="8459" max="8470" width="0" hidden="1" customWidth="1"/>
    <col min="8471" max="8471" width="11.140625" customWidth="1"/>
    <col min="8472" max="8472" width="12.7109375" customWidth="1"/>
    <col min="8473" max="8474" width="7.7109375" customWidth="1"/>
    <col min="8475" max="8475" width="14.7109375" customWidth="1"/>
    <col min="8476" max="8476" width="35.7109375" customWidth="1"/>
    <col min="8477" max="8477" width="11.7109375" customWidth="1"/>
    <col min="8478" max="8478" width="7.7109375" customWidth="1"/>
    <col min="8479" max="8479" width="2.7109375" customWidth="1"/>
    <col min="8705" max="8705" width="3.7109375" customWidth="1"/>
    <col min="8706" max="8706" width="11.7109375" customWidth="1"/>
    <col min="8707" max="8707" width="7.7109375" customWidth="1"/>
    <col min="8708" max="8708" width="10.28515625" customWidth="1"/>
    <col min="8709" max="8709" width="24.7109375" customWidth="1"/>
    <col min="8710" max="8710" width="4.7109375" customWidth="1"/>
    <col min="8711" max="8711" width="16.28515625" customWidth="1"/>
    <col min="8712" max="8712" width="13.7109375" customWidth="1"/>
    <col min="8713" max="8713" width="11.7109375" customWidth="1"/>
    <col min="8714" max="8714" width="13.7109375" customWidth="1"/>
    <col min="8715" max="8726" width="0" hidden="1" customWidth="1"/>
    <col min="8727" max="8727" width="11.140625" customWidth="1"/>
    <col min="8728" max="8728" width="12.7109375" customWidth="1"/>
    <col min="8729" max="8730" width="7.7109375" customWidth="1"/>
    <col min="8731" max="8731" width="14.7109375" customWidth="1"/>
    <col min="8732" max="8732" width="35.7109375" customWidth="1"/>
    <col min="8733" max="8733" width="11.7109375" customWidth="1"/>
    <col min="8734" max="8734" width="7.7109375" customWidth="1"/>
    <col min="8735" max="8735" width="2.7109375" customWidth="1"/>
    <col min="8961" max="8961" width="3.7109375" customWidth="1"/>
    <col min="8962" max="8962" width="11.7109375" customWidth="1"/>
    <col min="8963" max="8963" width="7.7109375" customWidth="1"/>
    <col min="8964" max="8964" width="10.28515625" customWidth="1"/>
    <col min="8965" max="8965" width="24.7109375" customWidth="1"/>
    <col min="8966" max="8966" width="4.7109375" customWidth="1"/>
    <col min="8967" max="8967" width="16.28515625" customWidth="1"/>
    <col min="8968" max="8968" width="13.7109375" customWidth="1"/>
    <col min="8969" max="8969" width="11.7109375" customWidth="1"/>
    <col min="8970" max="8970" width="13.7109375" customWidth="1"/>
    <col min="8971" max="8982" width="0" hidden="1" customWidth="1"/>
    <col min="8983" max="8983" width="11.140625" customWidth="1"/>
    <col min="8984" max="8984" width="12.7109375" customWidth="1"/>
    <col min="8985" max="8986" width="7.7109375" customWidth="1"/>
    <col min="8987" max="8987" width="14.7109375" customWidth="1"/>
    <col min="8988" max="8988" width="35.7109375" customWidth="1"/>
    <col min="8989" max="8989" width="11.7109375" customWidth="1"/>
    <col min="8990" max="8990" width="7.7109375" customWidth="1"/>
    <col min="8991" max="8991" width="2.7109375" customWidth="1"/>
    <col min="9217" max="9217" width="3.7109375" customWidth="1"/>
    <col min="9218" max="9218" width="11.7109375" customWidth="1"/>
    <col min="9219" max="9219" width="7.7109375" customWidth="1"/>
    <col min="9220" max="9220" width="10.28515625" customWidth="1"/>
    <col min="9221" max="9221" width="24.7109375" customWidth="1"/>
    <col min="9222" max="9222" width="4.7109375" customWidth="1"/>
    <col min="9223" max="9223" width="16.28515625" customWidth="1"/>
    <col min="9224" max="9224" width="13.7109375" customWidth="1"/>
    <col min="9225" max="9225" width="11.7109375" customWidth="1"/>
    <col min="9226" max="9226" width="13.7109375" customWidth="1"/>
    <col min="9227" max="9238" width="0" hidden="1" customWidth="1"/>
    <col min="9239" max="9239" width="11.140625" customWidth="1"/>
    <col min="9240" max="9240" width="12.7109375" customWidth="1"/>
    <col min="9241" max="9242" width="7.7109375" customWidth="1"/>
    <col min="9243" max="9243" width="14.7109375" customWidth="1"/>
    <col min="9244" max="9244" width="35.7109375" customWidth="1"/>
    <col min="9245" max="9245" width="11.7109375" customWidth="1"/>
    <col min="9246" max="9246" width="7.7109375" customWidth="1"/>
    <col min="9247" max="9247" width="2.7109375" customWidth="1"/>
    <col min="9473" max="9473" width="3.7109375" customWidth="1"/>
    <col min="9474" max="9474" width="11.7109375" customWidth="1"/>
    <col min="9475" max="9475" width="7.7109375" customWidth="1"/>
    <col min="9476" max="9476" width="10.28515625" customWidth="1"/>
    <col min="9477" max="9477" width="24.7109375" customWidth="1"/>
    <col min="9478" max="9478" width="4.7109375" customWidth="1"/>
    <col min="9479" max="9479" width="16.28515625" customWidth="1"/>
    <col min="9480" max="9480" width="13.7109375" customWidth="1"/>
    <col min="9481" max="9481" width="11.7109375" customWidth="1"/>
    <col min="9482" max="9482" width="13.7109375" customWidth="1"/>
    <col min="9483" max="9494" width="0" hidden="1" customWidth="1"/>
    <col min="9495" max="9495" width="11.140625" customWidth="1"/>
    <col min="9496" max="9496" width="12.7109375" customWidth="1"/>
    <col min="9497" max="9498" width="7.7109375" customWidth="1"/>
    <col min="9499" max="9499" width="14.7109375" customWidth="1"/>
    <col min="9500" max="9500" width="35.7109375" customWidth="1"/>
    <col min="9501" max="9501" width="11.7109375" customWidth="1"/>
    <col min="9502" max="9502" width="7.7109375" customWidth="1"/>
    <col min="9503" max="9503" width="2.7109375" customWidth="1"/>
    <col min="9729" max="9729" width="3.7109375" customWidth="1"/>
    <col min="9730" max="9730" width="11.7109375" customWidth="1"/>
    <col min="9731" max="9731" width="7.7109375" customWidth="1"/>
    <col min="9732" max="9732" width="10.28515625" customWidth="1"/>
    <col min="9733" max="9733" width="24.7109375" customWidth="1"/>
    <col min="9734" max="9734" width="4.7109375" customWidth="1"/>
    <col min="9735" max="9735" width="16.28515625" customWidth="1"/>
    <col min="9736" max="9736" width="13.7109375" customWidth="1"/>
    <col min="9737" max="9737" width="11.7109375" customWidth="1"/>
    <col min="9738" max="9738" width="13.7109375" customWidth="1"/>
    <col min="9739" max="9750" width="0" hidden="1" customWidth="1"/>
    <col min="9751" max="9751" width="11.140625" customWidth="1"/>
    <col min="9752" max="9752" width="12.7109375" customWidth="1"/>
    <col min="9753" max="9754" width="7.7109375" customWidth="1"/>
    <col min="9755" max="9755" width="14.7109375" customWidth="1"/>
    <col min="9756" max="9756" width="35.7109375" customWidth="1"/>
    <col min="9757" max="9757" width="11.7109375" customWidth="1"/>
    <col min="9758" max="9758" width="7.7109375" customWidth="1"/>
    <col min="9759" max="9759" width="2.7109375" customWidth="1"/>
    <col min="9985" max="9985" width="3.7109375" customWidth="1"/>
    <col min="9986" max="9986" width="11.7109375" customWidth="1"/>
    <col min="9987" max="9987" width="7.7109375" customWidth="1"/>
    <col min="9988" max="9988" width="10.28515625" customWidth="1"/>
    <col min="9989" max="9989" width="24.7109375" customWidth="1"/>
    <col min="9990" max="9990" width="4.7109375" customWidth="1"/>
    <col min="9991" max="9991" width="16.28515625" customWidth="1"/>
    <col min="9992" max="9992" width="13.7109375" customWidth="1"/>
    <col min="9993" max="9993" width="11.7109375" customWidth="1"/>
    <col min="9994" max="9994" width="13.7109375" customWidth="1"/>
    <col min="9995" max="10006" width="0" hidden="1" customWidth="1"/>
    <col min="10007" max="10007" width="11.140625" customWidth="1"/>
    <col min="10008" max="10008" width="12.7109375" customWidth="1"/>
    <col min="10009" max="10010" width="7.7109375" customWidth="1"/>
    <col min="10011" max="10011" width="14.7109375" customWidth="1"/>
    <col min="10012" max="10012" width="35.7109375" customWidth="1"/>
    <col min="10013" max="10013" width="11.7109375" customWidth="1"/>
    <col min="10014" max="10014" width="7.7109375" customWidth="1"/>
    <col min="10015" max="10015" width="2.7109375" customWidth="1"/>
    <col min="10241" max="10241" width="3.7109375" customWidth="1"/>
    <col min="10242" max="10242" width="11.7109375" customWidth="1"/>
    <col min="10243" max="10243" width="7.7109375" customWidth="1"/>
    <col min="10244" max="10244" width="10.28515625" customWidth="1"/>
    <col min="10245" max="10245" width="24.7109375" customWidth="1"/>
    <col min="10246" max="10246" width="4.7109375" customWidth="1"/>
    <col min="10247" max="10247" width="16.28515625" customWidth="1"/>
    <col min="10248" max="10248" width="13.7109375" customWidth="1"/>
    <col min="10249" max="10249" width="11.7109375" customWidth="1"/>
    <col min="10250" max="10250" width="13.7109375" customWidth="1"/>
    <col min="10251" max="10262" width="0" hidden="1" customWidth="1"/>
    <col min="10263" max="10263" width="11.140625" customWidth="1"/>
    <col min="10264" max="10264" width="12.7109375" customWidth="1"/>
    <col min="10265" max="10266" width="7.7109375" customWidth="1"/>
    <col min="10267" max="10267" width="14.7109375" customWidth="1"/>
    <col min="10268" max="10268" width="35.7109375" customWidth="1"/>
    <col min="10269" max="10269" width="11.7109375" customWidth="1"/>
    <col min="10270" max="10270" width="7.7109375" customWidth="1"/>
    <col min="10271" max="10271" width="2.7109375" customWidth="1"/>
    <col min="10497" max="10497" width="3.7109375" customWidth="1"/>
    <col min="10498" max="10498" width="11.7109375" customWidth="1"/>
    <col min="10499" max="10499" width="7.7109375" customWidth="1"/>
    <col min="10500" max="10500" width="10.28515625" customWidth="1"/>
    <col min="10501" max="10501" width="24.7109375" customWidth="1"/>
    <col min="10502" max="10502" width="4.7109375" customWidth="1"/>
    <col min="10503" max="10503" width="16.28515625" customWidth="1"/>
    <col min="10504" max="10504" width="13.7109375" customWidth="1"/>
    <col min="10505" max="10505" width="11.7109375" customWidth="1"/>
    <col min="10506" max="10506" width="13.7109375" customWidth="1"/>
    <col min="10507" max="10518" width="0" hidden="1" customWidth="1"/>
    <col min="10519" max="10519" width="11.140625" customWidth="1"/>
    <col min="10520" max="10520" width="12.7109375" customWidth="1"/>
    <col min="10521" max="10522" width="7.7109375" customWidth="1"/>
    <col min="10523" max="10523" width="14.7109375" customWidth="1"/>
    <col min="10524" max="10524" width="35.7109375" customWidth="1"/>
    <col min="10525" max="10525" width="11.7109375" customWidth="1"/>
    <col min="10526" max="10526" width="7.7109375" customWidth="1"/>
    <col min="10527" max="10527" width="2.7109375" customWidth="1"/>
    <col min="10753" max="10753" width="3.7109375" customWidth="1"/>
    <col min="10754" max="10754" width="11.7109375" customWidth="1"/>
    <col min="10755" max="10755" width="7.7109375" customWidth="1"/>
    <col min="10756" max="10756" width="10.28515625" customWidth="1"/>
    <col min="10757" max="10757" width="24.7109375" customWidth="1"/>
    <col min="10758" max="10758" width="4.7109375" customWidth="1"/>
    <col min="10759" max="10759" width="16.28515625" customWidth="1"/>
    <col min="10760" max="10760" width="13.7109375" customWidth="1"/>
    <col min="10761" max="10761" width="11.7109375" customWidth="1"/>
    <col min="10762" max="10762" width="13.7109375" customWidth="1"/>
    <col min="10763" max="10774" width="0" hidden="1" customWidth="1"/>
    <col min="10775" max="10775" width="11.140625" customWidth="1"/>
    <col min="10776" max="10776" width="12.7109375" customWidth="1"/>
    <col min="10777" max="10778" width="7.7109375" customWidth="1"/>
    <col min="10779" max="10779" width="14.7109375" customWidth="1"/>
    <col min="10780" max="10780" width="35.7109375" customWidth="1"/>
    <col min="10781" max="10781" width="11.7109375" customWidth="1"/>
    <col min="10782" max="10782" width="7.7109375" customWidth="1"/>
    <col min="10783" max="10783" width="2.7109375" customWidth="1"/>
    <col min="11009" max="11009" width="3.7109375" customWidth="1"/>
    <col min="11010" max="11010" width="11.7109375" customWidth="1"/>
    <col min="11011" max="11011" width="7.7109375" customWidth="1"/>
    <col min="11012" max="11012" width="10.28515625" customWidth="1"/>
    <col min="11013" max="11013" width="24.7109375" customWidth="1"/>
    <col min="11014" max="11014" width="4.7109375" customWidth="1"/>
    <col min="11015" max="11015" width="16.28515625" customWidth="1"/>
    <col min="11016" max="11016" width="13.7109375" customWidth="1"/>
    <col min="11017" max="11017" width="11.7109375" customWidth="1"/>
    <col min="11018" max="11018" width="13.7109375" customWidth="1"/>
    <col min="11019" max="11030" width="0" hidden="1" customWidth="1"/>
    <col min="11031" max="11031" width="11.140625" customWidth="1"/>
    <col min="11032" max="11032" width="12.7109375" customWidth="1"/>
    <col min="11033" max="11034" width="7.7109375" customWidth="1"/>
    <col min="11035" max="11035" width="14.7109375" customWidth="1"/>
    <col min="11036" max="11036" width="35.7109375" customWidth="1"/>
    <col min="11037" max="11037" width="11.7109375" customWidth="1"/>
    <col min="11038" max="11038" width="7.7109375" customWidth="1"/>
    <col min="11039" max="11039" width="2.7109375" customWidth="1"/>
    <col min="11265" max="11265" width="3.7109375" customWidth="1"/>
    <col min="11266" max="11266" width="11.7109375" customWidth="1"/>
    <col min="11267" max="11267" width="7.7109375" customWidth="1"/>
    <col min="11268" max="11268" width="10.28515625" customWidth="1"/>
    <col min="11269" max="11269" width="24.7109375" customWidth="1"/>
    <col min="11270" max="11270" width="4.7109375" customWidth="1"/>
    <col min="11271" max="11271" width="16.28515625" customWidth="1"/>
    <col min="11272" max="11272" width="13.7109375" customWidth="1"/>
    <col min="11273" max="11273" width="11.7109375" customWidth="1"/>
    <col min="11274" max="11274" width="13.7109375" customWidth="1"/>
    <col min="11275" max="11286" width="0" hidden="1" customWidth="1"/>
    <col min="11287" max="11287" width="11.140625" customWidth="1"/>
    <col min="11288" max="11288" width="12.7109375" customWidth="1"/>
    <col min="11289" max="11290" width="7.7109375" customWidth="1"/>
    <col min="11291" max="11291" width="14.7109375" customWidth="1"/>
    <col min="11292" max="11292" width="35.7109375" customWidth="1"/>
    <col min="11293" max="11293" width="11.7109375" customWidth="1"/>
    <col min="11294" max="11294" width="7.7109375" customWidth="1"/>
    <col min="11295" max="11295" width="2.7109375" customWidth="1"/>
    <col min="11521" max="11521" width="3.7109375" customWidth="1"/>
    <col min="11522" max="11522" width="11.7109375" customWidth="1"/>
    <col min="11523" max="11523" width="7.7109375" customWidth="1"/>
    <col min="11524" max="11524" width="10.28515625" customWidth="1"/>
    <col min="11525" max="11525" width="24.7109375" customWidth="1"/>
    <col min="11526" max="11526" width="4.7109375" customWidth="1"/>
    <col min="11527" max="11527" width="16.28515625" customWidth="1"/>
    <col min="11528" max="11528" width="13.7109375" customWidth="1"/>
    <col min="11529" max="11529" width="11.7109375" customWidth="1"/>
    <col min="11530" max="11530" width="13.7109375" customWidth="1"/>
    <col min="11531" max="11542" width="0" hidden="1" customWidth="1"/>
    <col min="11543" max="11543" width="11.140625" customWidth="1"/>
    <col min="11544" max="11544" width="12.7109375" customWidth="1"/>
    <col min="11545" max="11546" width="7.7109375" customWidth="1"/>
    <col min="11547" max="11547" width="14.7109375" customWidth="1"/>
    <col min="11548" max="11548" width="35.7109375" customWidth="1"/>
    <col min="11549" max="11549" width="11.7109375" customWidth="1"/>
    <col min="11550" max="11550" width="7.7109375" customWidth="1"/>
    <col min="11551" max="11551" width="2.7109375" customWidth="1"/>
    <col min="11777" max="11777" width="3.7109375" customWidth="1"/>
    <col min="11778" max="11778" width="11.7109375" customWidth="1"/>
    <col min="11779" max="11779" width="7.7109375" customWidth="1"/>
    <col min="11780" max="11780" width="10.28515625" customWidth="1"/>
    <col min="11781" max="11781" width="24.7109375" customWidth="1"/>
    <col min="11782" max="11782" width="4.7109375" customWidth="1"/>
    <col min="11783" max="11783" width="16.28515625" customWidth="1"/>
    <col min="11784" max="11784" width="13.7109375" customWidth="1"/>
    <col min="11785" max="11785" width="11.7109375" customWidth="1"/>
    <col min="11786" max="11786" width="13.7109375" customWidth="1"/>
    <col min="11787" max="11798" width="0" hidden="1" customWidth="1"/>
    <col min="11799" max="11799" width="11.140625" customWidth="1"/>
    <col min="11800" max="11800" width="12.7109375" customWidth="1"/>
    <col min="11801" max="11802" width="7.7109375" customWidth="1"/>
    <col min="11803" max="11803" width="14.7109375" customWidth="1"/>
    <col min="11804" max="11804" width="35.7109375" customWidth="1"/>
    <col min="11805" max="11805" width="11.7109375" customWidth="1"/>
    <col min="11806" max="11806" width="7.7109375" customWidth="1"/>
    <col min="11807" max="11807" width="2.7109375" customWidth="1"/>
    <col min="12033" max="12033" width="3.7109375" customWidth="1"/>
    <col min="12034" max="12034" width="11.7109375" customWidth="1"/>
    <col min="12035" max="12035" width="7.7109375" customWidth="1"/>
    <col min="12036" max="12036" width="10.28515625" customWidth="1"/>
    <col min="12037" max="12037" width="24.7109375" customWidth="1"/>
    <col min="12038" max="12038" width="4.7109375" customWidth="1"/>
    <col min="12039" max="12039" width="16.28515625" customWidth="1"/>
    <col min="12040" max="12040" width="13.7109375" customWidth="1"/>
    <col min="12041" max="12041" width="11.7109375" customWidth="1"/>
    <col min="12042" max="12042" width="13.7109375" customWidth="1"/>
    <col min="12043" max="12054" width="0" hidden="1" customWidth="1"/>
    <col min="12055" max="12055" width="11.140625" customWidth="1"/>
    <col min="12056" max="12056" width="12.7109375" customWidth="1"/>
    <col min="12057" max="12058" width="7.7109375" customWidth="1"/>
    <col min="12059" max="12059" width="14.7109375" customWidth="1"/>
    <col min="12060" max="12060" width="35.7109375" customWidth="1"/>
    <col min="12061" max="12061" width="11.7109375" customWidth="1"/>
    <col min="12062" max="12062" width="7.7109375" customWidth="1"/>
    <col min="12063" max="12063" width="2.7109375" customWidth="1"/>
    <col min="12289" max="12289" width="3.7109375" customWidth="1"/>
    <col min="12290" max="12290" width="11.7109375" customWidth="1"/>
    <col min="12291" max="12291" width="7.7109375" customWidth="1"/>
    <col min="12292" max="12292" width="10.28515625" customWidth="1"/>
    <col min="12293" max="12293" width="24.7109375" customWidth="1"/>
    <col min="12294" max="12294" width="4.7109375" customWidth="1"/>
    <col min="12295" max="12295" width="16.28515625" customWidth="1"/>
    <col min="12296" max="12296" width="13.7109375" customWidth="1"/>
    <col min="12297" max="12297" width="11.7109375" customWidth="1"/>
    <col min="12298" max="12298" width="13.7109375" customWidth="1"/>
    <col min="12299" max="12310" width="0" hidden="1" customWidth="1"/>
    <col min="12311" max="12311" width="11.140625" customWidth="1"/>
    <col min="12312" max="12312" width="12.7109375" customWidth="1"/>
    <col min="12313" max="12314" width="7.7109375" customWidth="1"/>
    <col min="12315" max="12315" width="14.7109375" customWidth="1"/>
    <col min="12316" max="12316" width="35.7109375" customWidth="1"/>
    <col min="12317" max="12317" width="11.7109375" customWidth="1"/>
    <col min="12318" max="12318" width="7.7109375" customWidth="1"/>
    <col min="12319" max="12319" width="2.7109375" customWidth="1"/>
    <col min="12545" max="12545" width="3.7109375" customWidth="1"/>
    <col min="12546" max="12546" width="11.7109375" customWidth="1"/>
    <col min="12547" max="12547" width="7.7109375" customWidth="1"/>
    <col min="12548" max="12548" width="10.28515625" customWidth="1"/>
    <col min="12549" max="12549" width="24.7109375" customWidth="1"/>
    <col min="12550" max="12550" width="4.7109375" customWidth="1"/>
    <col min="12551" max="12551" width="16.28515625" customWidth="1"/>
    <col min="12552" max="12552" width="13.7109375" customWidth="1"/>
    <col min="12553" max="12553" width="11.7109375" customWidth="1"/>
    <col min="12554" max="12554" width="13.7109375" customWidth="1"/>
    <col min="12555" max="12566" width="0" hidden="1" customWidth="1"/>
    <col min="12567" max="12567" width="11.140625" customWidth="1"/>
    <col min="12568" max="12568" width="12.7109375" customWidth="1"/>
    <col min="12569" max="12570" width="7.7109375" customWidth="1"/>
    <col min="12571" max="12571" width="14.7109375" customWidth="1"/>
    <col min="12572" max="12572" width="35.7109375" customWidth="1"/>
    <col min="12573" max="12573" width="11.7109375" customWidth="1"/>
    <col min="12574" max="12574" width="7.7109375" customWidth="1"/>
    <col min="12575" max="12575" width="2.7109375" customWidth="1"/>
    <col min="12801" max="12801" width="3.7109375" customWidth="1"/>
    <col min="12802" max="12802" width="11.7109375" customWidth="1"/>
    <col min="12803" max="12803" width="7.7109375" customWidth="1"/>
    <col min="12804" max="12804" width="10.28515625" customWidth="1"/>
    <col min="12805" max="12805" width="24.7109375" customWidth="1"/>
    <col min="12806" max="12806" width="4.7109375" customWidth="1"/>
    <col min="12807" max="12807" width="16.28515625" customWidth="1"/>
    <col min="12808" max="12808" width="13.7109375" customWidth="1"/>
    <col min="12809" max="12809" width="11.7109375" customWidth="1"/>
    <col min="12810" max="12810" width="13.7109375" customWidth="1"/>
    <col min="12811" max="12822" width="0" hidden="1" customWidth="1"/>
    <col min="12823" max="12823" width="11.140625" customWidth="1"/>
    <col min="12824" max="12824" width="12.7109375" customWidth="1"/>
    <col min="12825" max="12826" width="7.7109375" customWidth="1"/>
    <col min="12827" max="12827" width="14.7109375" customWidth="1"/>
    <col min="12828" max="12828" width="35.7109375" customWidth="1"/>
    <col min="12829" max="12829" width="11.7109375" customWidth="1"/>
    <col min="12830" max="12830" width="7.7109375" customWidth="1"/>
    <col min="12831" max="12831" width="2.7109375" customWidth="1"/>
    <col min="13057" max="13057" width="3.7109375" customWidth="1"/>
    <col min="13058" max="13058" width="11.7109375" customWidth="1"/>
    <col min="13059" max="13059" width="7.7109375" customWidth="1"/>
    <col min="13060" max="13060" width="10.28515625" customWidth="1"/>
    <col min="13061" max="13061" width="24.7109375" customWidth="1"/>
    <col min="13062" max="13062" width="4.7109375" customWidth="1"/>
    <col min="13063" max="13063" width="16.28515625" customWidth="1"/>
    <col min="13064" max="13064" width="13.7109375" customWidth="1"/>
    <col min="13065" max="13065" width="11.7109375" customWidth="1"/>
    <col min="13066" max="13066" width="13.7109375" customWidth="1"/>
    <col min="13067" max="13078" width="0" hidden="1" customWidth="1"/>
    <col min="13079" max="13079" width="11.140625" customWidth="1"/>
    <col min="13080" max="13080" width="12.7109375" customWidth="1"/>
    <col min="13081" max="13082" width="7.7109375" customWidth="1"/>
    <col min="13083" max="13083" width="14.7109375" customWidth="1"/>
    <col min="13084" max="13084" width="35.7109375" customWidth="1"/>
    <col min="13085" max="13085" width="11.7109375" customWidth="1"/>
    <col min="13086" max="13086" width="7.7109375" customWidth="1"/>
    <col min="13087" max="13087" width="2.7109375" customWidth="1"/>
    <col min="13313" max="13313" width="3.7109375" customWidth="1"/>
    <col min="13314" max="13314" width="11.7109375" customWidth="1"/>
    <col min="13315" max="13315" width="7.7109375" customWidth="1"/>
    <col min="13316" max="13316" width="10.28515625" customWidth="1"/>
    <col min="13317" max="13317" width="24.7109375" customWidth="1"/>
    <col min="13318" max="13318" width="4.7109375" customWidth="1"/>
    <col min="13319" max="13319" width="16.28515625" customWidth="1"/>
    <col min="13320" max="13320" width="13.7109375" customWidth="1"/>
    <col min="13321" max="13321" width="11.7109375" customWidth="1"/>
    <col min="13322" max="13322" width="13.7109375" customWidth="1"/>
    <col min="13323" max="13334" width="0" hidden="1" customWidth="1"/>
    <col min="13335" max="13335" width="11.140625" customWidth="1"/>
    <col min="13336" max="13336" width="12.7109375" customWidth="1"/>
    <col min="13337" max="13338" width="7.7109375" customWidth="1"/>
    <col min="13339" max="13339" width="14.7109375" customWidth="1"/>
    <col min="13340" max="13340" width="35.7109375" customWidth="1"/>
    <col min="13341" max="13341" width="11.7109375" customWidth="1"/>
    <col min="13342" max="13342" width="7.7109375" customWidth="1"/>
    <col min="13343" max="13343" width="2.7109375" customWidth="1"/>
    <col min="13569" max="13569" width="3.7109375" customWidth="1"/>
    <col min="13570" max="13570" width="11.7109375" customWidth="1"/>
    <col min="13571" max="13571" width="7.7109375" customWidth="1"/>
    <col min="13572" max="13572" width="10.28515625" customWidth="1"/>
    <col min="13573" max="13573" width="24.7109375" customWidth="1"/>
    <col min="13574" max="13574" width="4.7109375" customWidth="1"/>
    <col min="13575" max="13575" width="16.28515625" customWidth="1"/>
    <col min="13576" max="13576" width="13.7109375" customWidth="1"/>
    <col min="13577" max="13577" width="11.7109375" customWidth="1"/>
    <col min="13578" max="13578" width="13.7109375" customWidth="1"/>
    <col min="13579" max="13590" width="0" hidden="1" customWidth="1"/>
    <col min="13591" max="13591" width="11.140625" customWidth="1"/>
    <col min="13592" max="13592" width="12.7109375" customWidth="1"/>
    <col min="13593" max="13594" width="7.7109375" customWidth="1"/>
    <col min="13595" max="13595" width="14.7109375" customWidth="1"/>
    <col min="13596" max="13596" width="35.7109375" customWidth="1"/>
    <col min="13597" max="13597" width="11.7109375" customWidth="1"/>
    <col min="13598" max="13598" width="7.7109375" customWidth="1"/>
    <col min="13599" max="13599" width="2.7109375" customWidth="1"/>
    <col min="13825" max="13825" width="3.7109375" customWidth="1"/>
    <col min="13826" max="13826" width="11.7109375" customWidth="1"/>
    <col min="13827" max="13827" width="7.7109375" customWidth="1"/>
    <col min="13828" max="13828" width="10.28515625" customWidth="1"/>
    <col min="13829" max="13829" width="24.7109375" customWidth="1"/>
    <col min="13830" max="13830" width="4.7109375" customWidth="1"/>
    <col min="13831" max="13831" width="16.28515625" customWidth="1"/>
    <col min="13832" max="13832" width="13.7109375" customWidth="1"/>
    <col min="13833" max="13833" width="11.7109375" customWidth="1"/>
    <col min="13834" max="13834" width="13.7109375" customWidth="1"/>
    <col min="13835" max="13846" width="0" hidden="1" customWidth="1"/>
    <col min="13847" max="13847" width="11.140625" customWidth="1"/>
    <col min="13848" max="13848" width="12.7109375" customWidth="1"/>
    <col min="13849" max="13850" width="7.7109375" customWidth="1"/>
    <col min="13851" max="13851" width="14.7109375" customWidth="1"/>
    <col min="13852" max="13852" width="35.7109375" customWidth="1"/>
    <col min="13853" max="13853" width="11.7109375" customWidth="1"/>
    <col min="13854" max="13854" width="7.7109375" customWidth="1"/>
    <col min="13855" max="13855" width="2.7109375" customWidth="1"/>
    <col min="14081" max="14081" width="3.7109375" customWidth="1"/>
    <col min="14082" max="14082" width="11.7109375" customWidth="1"/>
    <col min="14083" max="14083" width="7.7109375" customWidth="1"/>
    <col min="14084" max="14084" width="10.28515625" customWidth="1"/>
    <col min="14085" max="14085" width="24.7109375" customWidth="1"/>
    <col min="14086" max="14086" width="4.7109375" customWidth="1"/>
    <col min="14087" max="14087" width="16.28515625" customWidth="1"/>
    <col min="14088" max="14088" width="13.7109375" customWidth="1"/>
    <col min="14089" max="14089" width="11.7109375" customWidth="1"/>
    <col min="14090" max="14090" width="13.7109375" customWidth="1"/>
    <col min="14091" max="14102" width="0" hidden="1" customWidth="1"/>
    <col min="14103" max="14103" width="11.140625" customWidth="1"/>
    <col min="14104" max="14104" width="12.7109375" customWidth="1"/>
    <col min="14105" max="14106" width="7.7109375" customWidth="1"/>
    <col min="14107" max="14107" width="14.7109375" customWidth="1"/>
    <col min="14108" max="14108" width="35.7109375" customWidth="1"/>
    <col min="14109" max="14109" width="11.7109375" customWidth="1"/>
    <col min="14110" max="14110" width="7.7109375" customWidth="1"/>
    <col min="14111" max="14111" width="2.7109375" customWidth="1"/>
    <col min="14337" max="14337" width="3.7109375" customWidth="1"/>
    <col min="14338" max="14338" width="11.7109375" customWidth="1"/>
    <col min="14339" max="14339" width="7.7109375" customWidth="1"/>
    <col min="14340" max="14340" width="10.28515625" customWidth="1"/>
    <col min="14341" max="14341" width="24.7109375" customWidth="1"/>
    <col min="14342" max="14342" width="4.7109375" customWidth="1"/>
    <col min="14343" max="14343" width="16.28515625" customWidth="1"/>
    <col min="14344" max="14344" width="13.7109375" customWidth="1"/>
    <col min="14345" max="14345" width="11.7109375" customWidth="1"/>
    <col min="14346" max="14346" width="13.7109375" customWidth="1"/>
    <col min="14347" max="14358" width="0" hidden="1" customWidth="1"/>
    <col min="14359" max="14359" width="11.140625" customWidth="1"/>
    <col min="14360" max="14360" width="12.7109375" customWidth="1"/>
    <col min="14361" max="14362" width="7.7109375" customWidth="1"/>
    <col min="14363" max="14363" width="14.7109375" customWidth="1"/>
    <col min="14364" max="14364" width="35.7109375" customWidth="1"/>
    <col min="14365" max="14365" width="11.7109375" customWidth="1"/>
    <col min="14366" max="14366" width="7.7109375" customWidth="1"/>
    <col min="14367" max="14367" width="2.7109375" customWidth="1"/>
    <col min="14593" max="14593" width="3.7109375" customWidth="1"/>
    <col min="14594" max="14594" width="11.7109375" customWidth="1"/>
    <col min="14595" max="14595" width="7.7109375" customWidth="1"/>
    <col min="14596" max="14596" width="10.28515625" customWidth="1"/>
    <col min="14597" max="14597" width="24.7109375" customWidth="1"/>
    <col min="14598" max="14598" width="4.7109375" customWidth="1"/>
    <col min="14599" max="14599" width="16.28515625" customWidth="1"/>
    <col min="14600" max="14600" width="13.7109375" customWidth="1"/>
    <col min="14601" max="14601" width="11.7109375" customWidth="1"/>
    <col min="14602" max="14602" width="13.7109375" customWidth="1"/>
    <col min="14603" max="14614" width="0" hidden="1" customWidth="1"/>
    <col min="14615" max="14615" width="11.140625" customWidth="1"/>
    <col min="14616" max="14616" width="12.7109375" customWidth="1"/>
    <col min="14617" max="14618" width="7.7109375" customWidth="1"/>
    <col min="14619" max="14619" width="14.7109375" customWidth="1"/>
    <col min="14620" max="14620" width="35.7109375" customWidth="1"/>
    <col min="14621" max="14621" width="11.7109375" customWidth="1"/>
    <col min="14622" max="14622" width="7.7109375" customWidth="1"/>
    <col min="14623" max="14623" width="2.7109375" customWidth="1"/>
    <col min="14849" max="14849" width="3.7109375" customWidth="1"/>
    <col min="14850" max="14850" width="11.7109375" customWidth="1"/>
    <col min="14851" max="14851" width="7.7109375" customWidth="1"/>
    <col min="14852" max="14852" width="10.28515625" customWidth="1"/>
    <col min="14853" max="14853" width="24.7109375" customWidth="1"/>
    <col min="14854" max="14854" width="4.7109375" customWidth="1"/>
    <col min="14855" max="14855" width="16.28515625" customWidth="1"/>
    <col min="14856" max="14856" width="13.7109375" customWidth="1"/>
    <col min="14857" max="14857" width="11.7109375" customWidth="1"/>
    <col min="14858" max="14858" width="13.7109375" customWidth="1"/>
    <col min="14859" max="14870" width="0" hidden="1" customWidth="1"/>
    <col min="14871" max="14871" width="11.140625" customWidth="1"/>
    <col min="14872" max="14872" width="12.7109375" customWidth="1"/>
    <col min="14873" max="14874" width="7.7109375" customWidth="1"/>
    <col min="14875" max="14875" width="14.7109375" customWidth="1"/>
    <col min="14876" max="14876" width="35.7109375" customWidth="1"/>
    <col min="14877" max="14877" width="11.7109375" customWidth="1"/>
    <col min="14878" max="14878" width="7.7109375" customWidth="1"/>
    <col min="14879" max="14879" width="2.7109375" customWidth="1"/>
    <col min="15105" max="15105" width="3.7109375" customWidth="1"/>
    <col min="15106" max="15106" width="11.7109375" customWidth="1"/>
    <col min="15107" max="15107" width="7.7109375" customWidth="1"/>
    <col min="15108" max="15108" width="10.28515625" customWidth="1"/>
    <col min="15109" max="15109" width="24.7109375" customWidth="1"/>
    <col min="15110" max="15110" width="4.7109375" customWidth="1"/>
    <col min="15111" max="15111" width="16.28515625" customWidth="1"/>
    <col min="15112" max="15112" width="13.7109375" customWidth="1"/>
    <col min="15113" max="15113" width="11.7109375" customWidth="1"/>
    <col min="15114" max="15114" width="13.7109375" customWidth="1"/>
    <col min="15115" max="15126" width="0" hidden="1" customWidth="1"/>
    <col min="15127" max="15127" width="11.140625" customWidth="1"/>
    <col min="15128" max="15128" width="12.7109375" customWidth="1"/>
    <col min="15129" max="15130" width="7.7109375" customWidth="1"/>
    <col min="15131" max="15131" width="14.7109375" customWidth="1"/>
    <col min="15132" max="15132" width="35.7109375" customWidth="1"/>
    <col min="15133" max="15133" width="11.7109375" customWidth="1"/>
    <col min="15134" max="15134" width="7.7109375" customWidth="1"/>
    <col min="15135" max="15135" width="2.7109375" customWidth="1"/>
    <col min="15361" max="15361" width="3.7109375" customWidth="1"/>
    <col min="15362" max="15362" width="11.7109375" customWidth="1"/>
    <col min="15363" max="15363" width="7.7109375" customWidth="1"/>
    <col min="15364" max="15364" width="10.28515625" customWidth="1"/>
    <col min="15365" max="15365" width="24.7109375" customWidth="1"/>
    <col min="15366" max="15366" width="4.7109375" customWidth="1"/>
    <col min="15367" max="15367" width="16.28515625" customWidth="1"/>
    <col min="15368" max="15368" width="13.7109375" customWidth="1"/>
    <col min="15369" max="15369" width="11.7109375" customWidth="1"/>
    <col min="15370" max="15370" width="13.7109375" customWidth="1"/>
    <col min="15371" max="15382" width="0" hidden="1" customWidth="1"/>
    <col min="15383" max="15383" width="11.140625" customWidth="1"/>
    <col min="15384" max="15384" width="12.7109375" customWidth="1"/>
    <col min="15385" max="15386" width="7.7109375" customWidth="1"/>
    <col min="15387" max="15387" width="14.7109375" customWidth="1"/>
    <col min="15388" max="15388" width="35.7109375" customWidth="1"/>
    <col min="15389" max="15389" width="11.7109375" customWidth="1"/>
    <col min="15390" max="15390" width="7.7109375" customWidth="1"/>
    <col min="15391" max="15391" width="2.7109375" customWidth="1"/>
    <col min="15617" max="15617" width="3.7109375" customWidth="1"/>
    <col min="15618" max="15618" width="11.7109375" customWidth="1"/>
    <col min="15619" max="15619" width="7.7109375" customWidth="1"/>
    <col min="15620" max="15620" width="10.28515625" customWidth="1"/>
    <col min="15621" max="15621" width="24.7109375" customWidth="1"/>
    <col min="15622" max="15622" width="4.7109375" customWidth="1"/>
    <col min="15623" max="15623" width="16.28515625" customWidth="1"/>
    <col min="15624" max="15624" width="13.7109375" customWidth="1"/>
    <col min="15625" max="15625" width="11.7109375" customWidth="1"/>
    <col min="15626" max="15626" width="13.7109375" customWidth="1"/>
    <col min="15627" max="15638" width="0" hidden="1" customWidth="1"/>
    <col min="15639" max="15639" width="11.140625" customWidth="1"/>
    <col min="15640" max="15640" width="12.7109375" customWidth="1"/>
    <col min="15641" max="15642" width="7.7109375" customWidth="1"/>
    <col min="15643" max="15643" width="14.7109375" customWidth="1"/>
    <col min="15644" max="15644" width="35.7109375" customWidth="1"/>
    <col min="15645" max="15645" width="11.7109375" customWidth="1"/>
    <col min="15646" max="15646" width="7.7109375" customWidth="1"/>
    <col min="15647" max="15647" width="2.7109375" customWidth="1"/>
    <col min="15873" max="15873" width="3.7109375" customWidth="1"/>
    <col min="15874" max="15874" width="11.7109375" customWidth="1"/>
    <col min="15875" max="15875" width="7.7109375" customWidth="1"/>
    <col min="15876" max="15876" width="10.28515625" customWidth="1"/>
    <col min="15877" max="15877" width="24.7109375" customWidth="1"/>
    <col min="15878" max="15878" width="4.7109375" customWidth="1"/>
    <col min="15879" max="15879" width="16.28515625" customWidth="1"/>
    <col min="15880" max="15880" width="13.7109375" customWidth="1"/>
    <col min="15881" max="15881" width="11.7109375" customWidth="1"/>
    <col min="15882" max="15882" width="13.7109375" customWidth="1"/>
    <col min="15883" max="15894" width="0" hidden="1" customWidth="1"/>
    <col min="15895" max="15895" width="11.140625" customWidth="1"/>
    <col min="15896" max="15896" width="12.7109375" customWidth="1"/>
    <col min="15897" max="15898" width="7.7109375" customWidth="1"/>
    <col min="15899" max="15899" width="14.7109375" customWidth="1"/>
    <col min="15900" max="15900" width="35.7109375" customWidth="1"/>
    <col min="15901" max="15901" width="11.7109375" customWidth="1"/>
    <col min="15902" max="15902" width="7.7109375" customWidth="1"/>
    <col min="15903" max="15903" width="2.7109375" customWidth="1"/>
    <col min="16129" max="16129" width="3.7109375" customWidth="1"/>
    <col min="16130" max="16130" width="11.7109375" customWidth="1"/>
    <col min="16131" max="16131" width="7.7109375" customWidth="1"/>
    <col min="16132" max="16132" width="10.28515625" customWidth="1"/>
    <col min="16133" max="16133" width="24.7109375" customWidth="1"/>
    <col min="16134" max="16134" width="4.7109375" customWidth="1"/>
    <col min="16135" max="16135" width="16.28515625" customWidth="1"/>
    <col min="16136" max="16136" width="13.7109375" customWidth="1"/>
    <col min="16137" max="16137" width="11.7109375" customWidth="1"/>
    <col min="16138" max="16138" width="13.7109375" customWidth="1"/>
    <col min="16139" max="16150" width="0" hidden="1" customWidth="1"/>
    <col min="16151" max="16151" width="11.140625" customWidth="1"/>
    <col min="16152" max="16152" width="12.7109375" customWidth="1"/>
    <col min="16153" max="16154" width="7.7109375" customWidth="1"/>
    <col min="16155" max="16155" width="14.7109375" customWidth="1"/>
    <col min="16156" max="16156" width="35.7109375" customWidth="1"/>
    <col min="16157" max="16157" width="11.7109375" customWidth="1"/>
    <col min="16158" max="16158" width="7.7109375" customWidth="1"/>
    <col min="16159" max="16159" width="2.7109375" customWidth="1"/>
  </cols>
  <sheetData>
    <row r="2" spans="1:256" ht="20.25">
      <c r="B2" s="472" t="s">
        <v>502</v>
      </c>
      <c r="C2" s="471"/>
      <c r="D2" s="470"/>
      <c r="E2" s="469"/>
      <c r="F2" s="469"/>
      <c r="G2" s="469"/>
    </row>
    <row r="3" spans="1:256" ht="20.25">
      <c r="B3" s="472" t="s">
        <v>226</v>
      </c>
      <c r="C3" s="471"/>
      <c r="D3" s="470"/>
      <c r="E3" s="469"/>
      <c r="F3" s="469"/>
      <c r="G3" s="469"/>
    </row>
    <row r="4" spans="1:256" ht="13.5" thickBot="1"/>
    <row r="5" spans="1:256">
      <c r="A5" s="550" t="s">
        <v>227</v>
      </c>
      <c r="B5" s="1106" t="s">
        <v>228</v>
      </c>
      <c r="C5" s="1087"/>
      <c r="D5" s="1087"/>
      <c r="E5" s="1107"/>
      <c r="F5" s="467" t="s">
        <v>229</v>
      </c>
      <c r="G5" s="467" t="s">
        <v>230</v>
      </c>
      <c r="H5" s="1088" t="s">
        <v>231</v>
      </c>
      <c r="I5" s="1089"/>
      <c r="J5" s="1108"/>
      <c r="K5" s="549" t="s">
        <v>232</v>
      </c>
      <c r="L5" s="1073"/>
      <c r="M5" s="1073"/>
      <c r="N5" s="1074"/>
      <c r="O5" s="1091" t="s">
        <v>139</v>
      </c>
      <c r="P5" s="1073"/>
      <c r="Q5" s="1073"/>
      <c r="R5" s="1073"/>
      <c r="S5" s="1073"/>
      <c r="T5" s="1073"/>
      <c r="U5" s="1074"/>
      <c r="V5" s="465"/>
      <c r="W5" s="840" t="s">
        <v>233</v>
      </c>
      <c r="X5" s="1109" t="s">
        <v>234</v>
      </c>
      <c r="Y5" s="1110"/>
      <c r="Z5" s="1111"/>
      <c r="AA5" s="841" t="s">
        <v>235</v>
      </c>
      <c r="AB5" s="548" t="s">
        <v>236</v>
      </c>
      <c r="AC5" s="1100" t="s">
        <v>237</v>
      </c>
      <c r="AD5" s="1101"/>
    </row>
    <row r="6" spans="1:256">
      <c r="A6" s="547"/>
      <c r="B6" s="546" t="s">
        <v>238</v>
      </c>
      <c r="C6" s="545"/>
      <c r="D6" s="544" t="s">
        <v>239</v>
      </c>
      <c r="E6" s="543" t="s">
        <v>240</v>
      </c>
      <c r="F6" s="542" t="s">
        <v>94</v>
      </c>
      <c r="G6" s="542"/>
      <c r="H6" s="541" t="s">
        <v>82</v>
      </c>
      <c r="I6" s="540" t="s">
        <v>241</v>
      </c>
      <c r="J6" s="539" t="s">
        <v>7</v>
      </c>
      <c r="K6" s="538" t="s">
        <v>139</v>
      </c>
      <c r="L6" s="454" t="s">
        <v>242</v>
      </c>
      <c r="M6" s="452" t="s">
        <v>243</v>
      </c>
      <c r="N6" s="447" t="s">
        <v>244</v>
      </c>
      <c r="O6" s="453" t="s">
        <v>245</v>
      </c>
      <c r="P6" s="452" t="s">
        <v>243</v>
      </c>
      <c r="Q6" s="537" t="s">
        <v>246</v>
      </c>
      <c r="R6" s="450" t="s">
        <v>247</v>
      </c>
      <c r="S6" s="449" t="s">
        <v>243</v>
      </c>
      <c r="T6" s="537" t="s">
        <v>246</v>
      </c>
      <c r="U6" s="447" t="s">
        <v>248</v>
      </c>
      <c r="V6" s="446" t="s">
        <v>249</v>
      </c>
      <c r="W6" s="848" t="s">
        <v>250</v>
      </c>
      <c r="X6" s="536" t="s">
        <v>251</v>
      </c>
      <c r="Y6" s="535" t="s">
        <v>252</v>
      </c>
      <c r="Z6" s="534" t="s">
        <v>238</v>
      </c>
      <c r="AA6" s="849" t="s">
        <v>253</v>
      </c>
      <c r="AB6" s="533"/>
      <c r="AC6" s="1102"/>
      <c r="AD6" s="1103"/>
      <c r="AF6" s="482"/>
      <c r="AG6" s="482"/>
      <c r="AH6" s="482"/>
      <c r="AI6" s="482"/>
      <c r="AJ6" s="482"/>
      <c r="AK6" s="482"/>
      <c r="AL6" s="482"/>
      <c r="AM6" s="482"/>
      <c r="AN6" s="482"/>
      <c r="AO6" s="482"/>
      <c r="AP6" s="482"/>
      <c r="AQ6" s="482"/>
      <c r="AR6" s="482"/>
      <c r="AS6" s="482"/>
      <c r="AT6" s="482"/>
      <c r="AU6" s="482"/>
      <c r="AV6" s="482"/>
      <c r="AW6" s="482"/>
      <c r="AX6" s="482"/>
      <c r="AY6" s="482"/>
      <c r="AZ6" s="482"/>
      <c r="BA6" s="482"/>
      <c r="BB6" s="482"/>
      <c r="BC6" s="482"/>
      <c r="BD6" s="482"/>
      <c r="BE6" s="482"/>
      <c r="BF6" s="482"/>
      <c r="BG6" s="482"/>
      <c r="BH6" s="482"/>
      <c r="BI6" s="482"/>
      <c r="BJ6" s="482"/>
      <c r="BK6" s="482"/>
      <c r="BL6" s="482"/>
      <c r="BM6" s="482"/>
      <c r="BN6" s="482"/>
    </row>
    <row r="7" spans="1:256">
      <c r="A7" s="432">
        <v>2</v>
      </c>
      <c r="B7" s="431" t="s">
        <v>425</v>
      </c>
      <c r="C7" s="421" t="s">
        <v>257</v>
      </c>
      <c r="D7" s="532">
        <v>42263</v>
      </c>
      <c r="E7" s="437" t="s">
        <v>255</v>
      </c>
      <c r="F7" s="1024">
        <f>75</f>
        <v>75</v>
      </c>
      <c r="G7" s="421" t="s">
        <v>505</v>
      </c>
      <c r="H7" s="420">
        <v>638857.91</v>
      </c>
      <c r="I7" s="419">
        <f t="shared" ref="I7:I17" si="0">H7*7%</f>
        <v>44720.053700000004</v>
      </c>
      <c r="J7" s="418">
        <f t="shared" ref="J7:J17" si="1">SUM(H7:I7)</f>
        <v>683577.96370000008</v>
      </c>
      <c r="K7" s="724">
        <v>42268</v>
      </c>
      <c r="L7" s="416">
        <v>14484</v>
      </c>
      <c r="M7" s="395">
        <v>75</v>
      </c>
      <c r="N7" s="415">
        <v>556488</v>
      </c>
      <c r="O7" s="412">
        <v>556488</v>
      </c>
      <c r="P7" s="414">
        <v>75</v>
      </c>
      <c r="Q7" s="413"/>
      <c r="R7" s="412"/>
      <c r="S7" s="414"/>
      <c r="T7" s="413"/>
      <c r="U7" s="412">
        <f t="shared" ref="U7:U11" si="2">O7+R7</f>
        <v>556488</v>
      </c>
      <c r="V7" s="411">
        <f>N7-U7</f>
        <v>0</v>
      </c>
      <c r="W7" s="410">
        <v>42268</v>
      </c>
      <c r="X7" s="409">
        <f t="shared" ref="X7:X17" si="3">(H7*3/100)</f>
        <v>19165.737300000001</v>
      </c>
      <c r="Y7" s="409"/>
      <c r="Z7" s="409"/>
      <c r="AA7" s="408">
        <f t="shared" ref="AA7:AA17" si="4">J7-X7</f>
        <v>664412.22640000004</v>
      </c>
      <c r="AB7" s="407" t="s">
        <v>506</v>
      </c>
      <c r="AC7" s="495" t="s">
        <v>256</v>
      </c>
      <c r="AD7" s="508">
        <v>150081</v>
      </c>
      <c r="AF7" s="482"/>
      <c r="AG7" s="482"/>
      <c r="AH7" s="482"/>
      <c r="AI7" s="482"/>
      <c r="AJ7" s="482"/>
      <c r="AK7" s="482"/>
      <c r="AL7" s="482"/>
      <c r="AM7" s="482"/>
      <c r="AN7" s="482"/>
      <c r="AO7" s="482"/>
      <c r="AP7" s="482"/>
      <c r="AQ7" s="482"/>
      <c r="AR7" s="482"/>
      <c r="AS7" s="482"/>
      <c r="AT7" s="482"/>
      <c r="AU7" s="482"/>
      <c r="AV7" s="482"/>
      <c r="AW7" s="482"/>
      <c r="AX7" s="482"/>
      <c r="AY7" s="482"/>
      <c r="AZ7" s="482"/>
      <c r="BA7" s="482"/>
      <c r="BB7" s="482"/>
      <c r="BC7" s="482"/>
      <c r="BD7" s="482"/>
      <c r="BE7" s="482"/>
      <c r="BF7" s="482"/>
      <c r="BG7" s="482"/>
      <c r="BH7" s="482"/>
      <c r="BI7" s="482"/>
      <c r="BJ7" s="482"/>
      <c r="BK7" s="482"/>
      <c r="BL7" s="482"/>
      <c r="BM7" s="482"/>
      <c r="BN7" s="482"/>
    </row>
    <row r="8" spans="1:256">
      <c r="A8" s="425">
        <v>3</v>
      </c>
      <c r="B8" s="431" t="s">
        <v>425</v>
      </c>
      <c r="C8" s="421" t="s">
        <v>258</v>
      </c>
      <c r="D8" s="510">
        <v>42275</v>
      </c>
      <c r="E8" s="422" t="s">
        <v>263</v>
      </c>
      <c r="F8" s="429">
        <v>2</v>
      </c>
      <c r="G8" s="1023" t="s">
        <v>528</v>
      </c>
      <c r="H8" s="420">
        <v>43898.59</v>
      </c>
      <c r="I8" s="419">
        <f t="shared" si="0"/>
        <v>3072.9013</v>
      </c>
      <c r="J8" s="418">
        <f t="shared" si="1"/>
        <v>46971.491299999994</v>
      </c>
      <c r="K8" s="724">
        <v>42277</v>
      </c>
      <c r="L8" s="428">
        <v>1400</v>
      </c>
      <c r="M8" s="395">
        <v>2</v>
      </c>
      <c r="N8" s="415">
        <v>37112.36</v>
      </c>
      <c r="O8" s="412">
        <v>37112.36</v>
      </c>
      <c r="P8" s="414">
        <v>2</v>
      </c>
      <c r="Q8" s="413"/>
      <c r="R8" s="412"/>
      <c r="S8" s="414"/>
      <c r="T8" s="413"/>
      <c r="U8" s="412">
        <f t="shared" si="2"/>
        <v>37112.36</v>
      </c>
      <c r="V8" s="411">
        <f>N8-U8</f>
        <v>0</v>
      </c>
      <c r="W8" s="516">
        <v>42292</v>
      </c>
      <c r="X8" s="409">
        <f t="shared" si="3"/>
        <v>1316.9576999999999</v>
      </c>
      <c r="Y8" s="409"/>
      <c r="Z8" s="409"/>
      <c r="AA8" s="409">
        <f t="shared" si="4"/>
        <v>45654.533599999995</v>
      </c>
      <c r="AB8" s="515" t="s">
        <v>421</v>
      </c>
      <c r="AC8" s="495" t="s">
        <v>256</v>
      </c>
      <c r="AD8" s="494"/>
      <c r="AF8" s="482"/>
      <c r="AG8" s="482"/>
      <c r="AH8" s="482"/>
      <c r="AI8" s="482"/>
      <c r="AJ8" s="482"/>
      <c r="AK8" s="482"/>
      <c r="AL8" s="482"/>
      <c r="AM8" s="482"/>
      <c r="AN8" s="482"/>
      <c r="AO8" s="482"/>
      <c r="AP8" s="482"/>
      <c r="AQ8" s="482"/>
      <c r="AR8" s="482"/>
      <c r="AS8" s="482"/>
      <c r="AT8" s="482"/>
      <c r="AU8" s="482"/>
      <c r="AV8" s="482"/>
      <c r="AW8" s="482"/>
      <c r="AX8" s="482"/>
      <c r="AY8" s="482"/>
      <c r="AZ8" s="482"/>
      <c r="BA8" s="482"/>
      <c r="BB8" s="482"/>
      <c r="BC8" s="482"/>
      <c r="BD8" s="482"/>
      <c r="BE8" s="482"/>
      <c r="BF8" s="482"/>
      <c r="BG8" s="482"/>
      <c r="BH8" s="482"/>
      <c r="BI8" s="482"/>
      <c r="BJ8" s="482"/>
      <c r="BK8" s="482"/>
      <c r="BL8" s="482"/>
      <c r="BM8" s="482"/>
      <c r="BN8" s="482"/>
    </row>
    <row r="9" spans="1:256">
      <c r="A9" s="425">
        <v>4</v>
      </c>
      <c r="B9" s="431" t="s">
        <v>425</v>
      </c>
      <c r="C9" s="421" t="s">
        <v>259</v>
      </c>
      <c r="D9" s="510">
        <v>42275</v>
      </c>
      <c r="E9" s="422" t="s">
        <v>507</v>
      </c>
      <c r="F9" s="429">
        <v>2</v>
      </c>
      <c r="G9" s="421" t="s">
        <v>508</v>
      </c>
      <c r="H9" s="420">
        <v>7407.57</v>
      </c>
      <c r="I9" s="419">
        <f t="shared" si="0"/>
        <v>518.5299</v>
      </c>
      <c r="J9" s="418">
        <f t="shared" si="1"/>
        <v>7926.0998999999993</v>
      </c>
      <c r="K9" s="417" t="s">
        <v>292</v>
      </c>
      <c r="L9" s="428"/>
      <c r="M9" s="395"/>
      <c r="N9" s="415"/>
      <c r="O9" s="412"/>
      <c r="P9" s="414"/>
      <c r="Q9" s="413"/>
      <c r="R9" s="412"/>
      <c r="S9" s="414"/>
      <c r="T9" s="413"/>
      <c r="U9" s="412">
        <f t="shared" si="2"/>
        <v>0</v>
      </c>
      <c r="V9" s="411">
        <f>N9-U9</f>
        <v>0</v>
      </c>
      <c r="W9" s="516">
        <v>42328</v>
      </c>
      <c r="X9" s="409">
        <f t="shared" si="3"/>
        <v>222.22709999999998</v>
      </c>
      <c r="Y9" s="409"/>
      <c r="Z9" s="409"/>
      <c r="AA9" s="409">
        <f t="shared" si="4"/>
        <v>7703.8727999999992</v>
      </c>
      <c r="AB9" s="551"/>
      <c r="AC9" s="495" t="s">
        <v>256</v>
      </c>
      <c r="AD9" s="531"/>
      <c r="AF9" s="482"/>
      <c r="AG9" s="530"/>
      <c r="AH9" s="530"/>
      <c r="AI9" s="529"/>
      <c r="AJ9" s="528"/>
      <c r="AK9" s="528"/>
      <c r="AL9" s="528"/>
      <c r="AM9" s="521"/>
      <c r="AN9" s="527"/>
      <c r="AO9" s="525"/>
      <c r="AP9" s="526"/>
      <c r="AQ9" s="523"/>
      <c r="AR9" s="525"/>
      <c r="AS9" s="525"/>
      <c r="AT9" s="523"/>
      <c r="AU9" s="524"/>
      <c r="AV9" s="524"/>
      <c r="AW9" s="523"/>
      <c r="AX9" s="522"/>
      <c r="AY9" s="521"/>
      <c r="AZ9" s="520"/>
      <c r="BA9" s="520"/>
      <c r="BB9" s="520"/>
      <c r="BC9" s="520"/>
      <c r="BD9" s="519"/>
      <c r="BE9" s="482"/>
      <c r="BF9" s="482"/>
      <c r="BG9" s="482"/>
      <c r="BH9" s="482"/>
      <c r="BI9" s="482"/>
      <c r="BJ9" s="482"/>
      <c r="BK9" s="482"/>
      <c r="BL9" s="482"/>
      <c r="BM9" s="482"/>
      <c r="BN9" s="482"/>
    </row>
    <row r="10" spans="1:256">
      <c r="A10" s="432">
        <v>5</v>
      </c>
      <c r="B10" s="431" t="s">
        <v>425</v>
      </c>
      <c r="C10" s="421" t="s">
        <v>261</v>
      </c>
      <c r="D10" s="510">
        <v>42275</v>
      </c>
      <c r="E10" s="422" t="s">
        <v>265</v>
      </c>
      <c r="F10" s="429">
        <v>9</v>
      </c>
      <c r="G10" s="421" t="s">
        <v>509</v>
      </c>
      <c r="H10" s="420">
        <v>229744.01</v>
      </c>
      <c r="I10" s="419">
        <f t="shared" si="0"/>
        <v>16082.080700000002</v>
      </c>
      <c r="J10" s="418">
        <f t="shared" si="1"/>
        <v>245826.0907</v>
      </c>
      <c r="K10" s="724">
        <v>42277</v>
      </c>
      <c r="L10" s="428">
        <v>5925</v>
      </c>
      <c r="M10" s="395">
        <v>9</v>
      </c>
      <c r="N10" s="415">
        <v>170304.05</v>
      </c>
      <c r="O10" s="412">
        <v>170304.05</v>
      </c>
      <c r="P10" s="414">
        <v>9</v>
      </c>
      <c r="Q10" s="413"/>
      <c r="R10" s="412"/>
      <c r="S10" s="414"/>
      <c r="T10" s="413"/>
      <c r="U10" s="412">
        <f t="shared" si="2"/>
        <v>170304.05</v>
      </c>
      <c r="V10" s="411">
        <f>N10-U10</f>
        <v>0</v>
      </c>
      <c r="W10" s="516">
        <v>42328</v>
      </c>
      <c r="X10" s="409">
        <f t="shared" si="3"/>
        <v>6892.3203000000003</v>
      </c>
      <c r="Y10" s="409"/>
      <c r="Z10" s="409"/>
      <c r="AA10" s="409">
        <f t="shared" si="4"/>
        <v>238933.77040000001</v>
      </c>
      <c r="AB10" s="496" t="s">
        <v>373</v>
      </c>
      <c r="AC10" s="495" t="s">
        <v>256</v>
      </c>
      <c r="AD10" s="508"/>
      <c r="AF10" s="482"/>
      <c r="AG10" s="482"/>
      <c r="AH10" s="482"/>
      <c r="AI10" s="482"/>
      <c r="AJ10" s="482"/>
      <c r="AK10" s="482"/>
      <c r="AL10" s="482"/>
      <c r="AM10" s="482"/>
      <c r="AN10" s="482"/>
      <c r="AO10" s="482"/>
      <c r="AP10" s="482"/>
      <c r="AQ10" s="482"/>
      <c r="AR10" s="482"/>
      <c r="AS10" s="482"/>
      <c r="AT10" s="482"/>
      <c r="AU10" s="482"/>
      <c r="AV10" s="482"/>
      <c r="AW10" s="482"/>
      <c r="AX10" s="482"/>
      <c r="AY10" s="482"/>
      <c r="AZ10" s="482"/>
      <c r="BA10" s="482"/>
      <c r="BB10" s="482"/>
      <c r="BC10" s="482"/>
      <c r="BD10" s="482"/>
      <c r="BE10" s="482"/>
      <c r="BF10" s="482"/>
      <c r="BG10" s="482"/>
      <c r="BH10" s="482"/>
      <c r="BI10" s="482"/>
      <c r="BJ10" s="482"/>
      <c r="BK10" s="482"/>
      <c r="BL10" s="482"/>
      <c r="BM10" s="482"/>
      <c r="BN10" s="482"/>
    </row>
    <row r="11" spans="1:256">
      <c r="A11" s="432">
        <v>6</v>
      </c>
      <c r="B11" s="431" t="s">
        <v>425</v>
      </c>
      <c r="C11" s="421" t="s">
        <v>262</v>
      </c>
      <c r="D11" s="510">
        <v>42277</v>
      </c>
      <c r="E11" s="430" t="s">
        <v>267</v>
      </c>
      <c r="F11" s="429">
        <v>89</v>
      </c>
      <c r="G11" s="421" t="s">
        <v>510</v>
      </c>
      <c r="H11" s="420">
        <v>1858950.14</v>
      </c>
      <c r="I11" s="419">
        <f t="shared" si="0"/>
        <v>130126.5098</v>
      </c>
      <c r="J11" s="418">
        <f t="shared" si="1"/>
        <v>1989076.6497999998</v>
      </c>
      <c r="K11" s="724">
        <v>42272</v>
      </c>
      <c r="L11" s="428">
        <v>29927</v>
      </c>
      <c r="M11" s="518">
        <v>89</v>
      </c>
      <c r="N11" s="434">
        <v>1640888.24</v>
      </c>
      <c r="O11" s="434">
        <v>4698030.58</v>
      </c>
      <c r="P11" s="435">
        <v>247</v>
      </c>
      <c r="Q11" s="435"/>
      <c r="R11" s="434">
        <v>25071.91</v>
      </c>
      <c r="S11" s="435">
        <v>6</v>
      </c>
      <c r="T11" s="435"/>
      <c r="U11" s="434">
        <f t="shared" si="2"/>
        <v>4723102.49</v>
      </c>
      <c r="V11" s="517">
        <f>(N11+N12)-U11</f>
        <v>-0.36000000033527613</v>
      </c>
      <c r="W11" s="516">
        <v>42304</v>
      </c>
      <c r="X11" s="409">
        <f t="shared" si="3"/>
        <v>55768.504199999996</v>
      </c>
      <c r="Y11" s="409"/>
      <c r="Z11" s="409"/>
      <c r="AA11" s="409">
        <f t="shared" si="4"/>
        <v>1933308.1455999997</v>
      </c>
      <c r="AB11" s="515" t="s">
        <v>268</v>
      </c>
      <c r="AC11" s="495" t="s">
        <v>256</v>
      </c>
      <c r="AD11" s="508"/>
      <c r="AF11" s="482"/>
      <c r="AG11" s="482"/>
      <c r="AH11" s="482"/>
      <c r="AI11" s="482"/>
      <c r="AJ11" s="482"/>
      <c r="AK11" s="482"/>
      <c r="AL11" s="482"/>
      <c r="AM11" s="482"/>
      <c r="AN11" s="482"/>
      <c r="AO11" s="482"/>
      <c r="AP11" s="482"/>
      <c r="AQ11" s="482"/>
      <c r="AR11" s="482"/>
      <c r="AS11" s="482"/>
      <c r="AT11" s="482"/>
      <c r="AU11" s="482"/>
      <c r="AV11" s="482"/>
      <c r="AW11" s="482"/>
      <c r="AX11" s="482"/>
      <c r="AY11" s="482"/>
      <c r="AZ11" s="482"/>
      <c r="BA11" s="482"/>
      <c r="BB11" s="482"/>
      <c r="BC11" s="482"/>
      <c r="BD11" s="482"/>
      <c r="BE11" s="482"/>
      <c r="BF11" s="482"/>
      <c r="BG11" s="482"/>
      <c r="BH11" s="482"/>
      <c r="BI11" s="482"/>
      <c r="BJ11" s="482"/>
      <c r="BK11" s="482"/>
      <c r="BL11" s="482"/>
      <c r="BM11" s="482"/>
      <c r="BN11" s="482"/>
    </row>
    <row r="12" spans="1:256">
      <c r="A12" s="432">
        <v>7</v>
      </c>
      <c r="B12" s="431" t="s">
        <v>425</v>
      </c>
      <c r="C12" s="421" t="s">
        <v>264</v>
      </c>
      <c r="D12" s="510">
        <v>42277</v>
      </c>
      <c r="E12" s="430" t="s">
        <v>270</v>
      </c>
      <c r="F12" s="429">
        <v>164</v>
      </c>
      <c r="G12" s="421" t="s">
        <v>510</v>
      </c>
      <c r="H12" s="420">
        <v>3456456.49</v>
      </c>
      <c r="I12" s="419">
        <f t="shared" si="0"/>
        <v>241951.95430000004</v>
      </c>
      <c r="J12" s="418">
        <f t="shared" si="1"/>
        <v>3698408.4443000001</v>
      </c>
      <c r="K12" s="724">
        <v>42272</v>
      </c>
      <c r="L12" s="416">
        <v>51797</v>
      </c>
      <c r="M12" s="395">
        <v>164</v>
      </c>
      <c r="N12" s="412">
        <v>3082213.89</v>
      </c>
      <c r="O12" s="412"/>
      <c r="P12" s="414"/>
      <c r="Q12" s="414"/>
      <c r="R12" s="412"/>
      <c r="S12" s="414"/>
      <c r="T12" s="414"/>
      <c r="U12" s="412"/>
      <c r="V12" s="513"/>
      <c r="W12" s="516">
        <v>42304</v>
      </c>
      <c r="X12" s="409">
        <f t="shared" si="3"/>
        <v>103693.69470000001</v>
      </c>
      <c r="Y12" s="409"/>
      <c r="Z12" s="409"/>
      <c r="AA12" s="409">
        <f t="shared" si="4"/>
        <v>3594714.7496000002</v>
      </c>
      <c r="AB12" s="509" t="s">
        <v>346</v>
      </c>
      <c r="AC12" s="495" t="s">
        <v>256</v>
      </c>
      <c r="AD12" s="508"/>
      <c r="AF12" s="482"/>
      <c r="AG12" s="482"/>
      <c r="AH12" s="482"/>
      <c r="AI12" s="482"/>
      <c r="AJ12" s="482"/>
      <c r="AK12" s="482"/>
      <c r="AL12" s="482"/>
      <c r="AM12" s="482"/>
      <c r="AN12" s="482"/>
      <c r="AO12" s="482"/>
      <c r="AP12" s="482"/>
      <c r="AQ12" s="482"/>
      <c r="AR12" s="482"/>
      <c r="AS12" s="482"/>
      <c r="AT12" s="482"/>
      <c r="AU12" s="482"/>
      <c r="AV12" s="482"/>
      <c r="AW12" s="482"/>
      <c r="AX12" s="482"/>
      <c r="AY12" s="482"/>
      <c r="AZ12" s="482"/>
      <c r="BA12" s="482"/>
      <c r="BB12" s="482"/>
      <c r="BC12" s="482"/>
      <c r="BD12" s="482"/>
      <c r="BE12" s="482"/>
      <c r="BF12" s="482"/>
      <c r="BG12" s="482"/>
      <c r="BH12" s="482"/>
      <c r="BI12" s="482"/>
      <c r="BJ12" s="482"/>
      <c r="BK12" s="482"/>
      <c r="BL12" s="482"/>
      <c r="BM12" s="482"/>
      <c r="BN12" s="482"/>
    </row>
    <row r="13" spans="1:256">
      <c r="A13" s="432">
        <v>7</v>
      </c>
      <c r="B13" s="431" t="s">
        <v>425</v>
      </c>
      <c r="C13" s="421" t="s">
        <v>266</v>
      </c>
      <c r="D13" s="510">
        <v>42277</v>
      </c>
      <c r="E13" s="430" t="s">
        <v>271</v>
      </c>
      <c r="F13" s="422">
        <v>4</v>
      </c>
      <c r="G13" s="512" t="s">
        <v>491</v>
      </c>
      <c r="H13" s="420">
        <v>75269.17</v>
      </c>
      <c r="I13" s="419">
        <f t="shared" si="0"/>
        <v>5268.8419000000004</v>
      </c>
      <c r="J13" s="418">
        <f t="shared" si="1"/>
        <v>80538.011899999998</v>
      </c>
      <c r="K13" s="724">
        <v>42272</v>
      </c>
      <c r="L13" s="416">
        <f>2000</f>
        <v>2000</v>
      </c>
      <c r="M13" s="395">
        <f>4</f>
        <v>4</v>
      </c>
      <c r="N13" s="412">
        <f>63589.68</f>
        <v>63589.68</v>
      </c>
      <c r="O13" s="412">
        <f>63589.68</f>
        <v>63589.68</v>
      </c>
      <c r="P13" s="414">
        <f>4</f>
        <v>4</v>
      </c>
      <c r="Q13" s="414"/>
      <c r="R13" s="412"/>
      <c r="S13" s="414"/>
      <c r="T13" s="414"/>
      <c r="U13" s="973">
        <f>O13+R13</f>
        <v>63589.68</v>
      </c>
      <c r="V13" s="411">
        <f>N13-U13</f>
        <v>0</v>
      </c>
      <c r="W13" s="516">
        <v>42304</v>
      </c>
      <c r="X13" s="409">
        <f t="shared" si="3"/>
        <v>2258.0751</v>
      </c>
      <c r="Y13" s="409"/>
      <c r="Z13" s="409"/>
      <c r="AA13" s="409">
        <f t="shared" si="4"/>
        <v>78279.936799999996</v>
      </c>
      <c r="AB13" s="509" t="s">
        <v>381</v>
      </c>
      <c r="AC13" s="495" t="s">
        <v>256</v>
      </c>
      <c r="AD13" s="508"/>
      <c r="AF13" s="482"/>
      <c r="AG13" s="482"/>
      <c r="AH13" s="482"/>
      <c r="AI13" s="482"/>
      <c r="AJ13" s="482"/>
      <c r="AK13" s="482"/>
      <c r="AL13" s="482"/>
      <c r="AM13" s="482"/>
      <c r="AN13" s="482"/>
      <c r="AO13" s="482"/>
      <c r="AP13" s="482"/>
      <c r="AQ13" s="482"/>
      <c r="AR13" s="482"/>
      <c r="AS13" s="482"/>
      <c r="AT13" s="482"/>
      <c r="AU13" s="482"/>
      <c r="AV13" s="482"/>
      <c r="AW13" s="482"/>
      <c r="AX13" s="482"/>
      <c r="AY13" s="482"/>
      <c r="AZ13" s="482"/>
      <c r="BA13" s="482"/>
      <c r="BB13" s="482"/>
      <c r="BC13" s="482"/>
      <c r="BD13" s="482"/>
      <c r="BE13" s="482"/>
      <c r="BF13" s="482"/>
      <c r="BG13" s="482"/>
      <c r="BH13" s="482"/>
      <c r="BI13" s="482"/>
      <c r="BJ13" s="482"/>
      <c r="BK13" s="482"/>
      <c r="BL13" s="482"/>
      <c r="BM13" s="482"/>
      <c r="BN13" s="482"/>
    </row>
    <row r="14" spans="1:256">
      <c r="A14" s="432">
        <v>7</v>
      </c>
      <c r="B14" s="431" t="s">
        <v>425</v>
      </c>
      <c r="C14" s="421" t="s">
        <v>269</v>
      </c>
      <c r="D14" s="510">
        <v>42277</v>
      </c>
      <c r="E14" s="430" t="s">
        <v>423</v>
      </c>
      <c r="F14" s="730">
        <v>1</v>
      </c>
      <c r="G14" s="512" t="s">
        <v>491</v>
      </c>
      <c r="H14" s="420">
        <v>24000</v>
      </c>
      <c r="I14" s="419">
        <f t="shared" si="0"/>
        <v>1680.0000000000002</v>
      </c>
      <c r="J14" s="418">
        <f t="shared" si="1"/>
        <v>25680</v>
      </c>
      <c r="K14" s="417" t="s">
        <v>292</v>
      </c>
      <c r="L14" s="514"/>
      <c r="M14" s="440"/>
      <c r="N14" s="415"/>
      <c r="O14" s="415"/>
      <c r="P14" s="413"/>
      <c r="Q14" s="413"/>
      <c r="R14" s="415"/>
      <c r="S14" s="413"/>
      <c r="T14" s="413"/>
      <c r="U14" s="415">
        <f>O14+R14</f>
        <v>0</v>
      </c>
      <c r="V14" s="411">
        <f>N14-U14</f>
        <v>0</v>
      </c>
      <c r="W14" s="516">
        <v>42304</v>
      </c>
      <c r="X14" s="409">
        <f t="shared" si="3"/>
        <v>720</v>
      </c>
      <c r="Y14" s="409"/>
      <c r="Z14" s="409"/>
      <c r="AA14" s="409">
        <f t="shared" si="4"/>
        <v>24960</v>
      </c>
      <c r="AB14" s="974"/>
      <c r="AC14" s="495" t="s">
        <v>256</v>
      </c>
      <c r="AD14" s="508"/>
      <c r="AF14" s="482"/>
      <c r="AG14" s="482"/>
      <c r="AH14" s="482"/>
      <c r="AI14" s="482"/>
      <c r="AJ14" s="482"/>
      <c r="AK14" s="482"/>
      <c r="AL14" s="482"/>
      <c r="AM14" s="482"/>
      <c r="AN14" s="482"/>
      <c r="AO14" s="482"/>
      <c r="AP14" s="482"/>
      <c r="AQ14" s="482"/>
      <c r="AR14" s="482"/>
      <c r="AS14" s="482"/>
      <c r="AT14" s="482"/>
      <c r="AU14" s="482"/>
      <c r="AV14" s="482"/>
      <c r="AW14" s="482"/>
      <c r="AX14" s="482"/>
      <c r="AY14" s="482"/>
      <c r="AZ14" s="482"/>
      <c r="BA14" s="482"/>
      <c r="BB14" s="482"/>
      <c r="BC14" s="482"/>
      <c r="BD14" s="482"/>
      <c r="BE14" s="482"/>
      <c r="BF14" s="482"/>
      <c r="BG14" s="482"/>
      <c r="BH14" s="482"/>
      <c r="BI14" s="482"/>
      <c r="BJ14" s="482"/>
      <c r="BK14" s="482"/>
      <c r="BL14" s="482"/>
      <c r="BM14" s="482"/>
      <c r="BN14" s="482"/>
    </row>
    <row r="15" spans="1:256">
      <c r="A15" s="511">
        <v>8</v>
      </c>
      <c r="B15" s="769" t="s">
        <v>424</v>
      </c>
      <c r="C15" s="770" t="s">
        <v>254</v>
      </c>
      <c r="D15" s="771"/>
      <c r="E15" s="729" t="s">
        <v>345</v>
      </c>
      <c r="F15" s="730">
        <v>1</v>
      </c>
      <c r="G15" s="512" t="s">
        <v>491</v>
      </c>
      <c r="H15" s="731">
        <v>21030</v>
      </c>
      <c r="I15" s="732">
        <f t="shared" si="0"/>
        <v>1472.1000000000001</v>
      </c>
      <c r="J15" s="733">
        <f t="shared" si="1"/>
        <v>22502.1</v>
      </c>
      <c r="K15" s="772">
        <v>42277</v>
      </c>
      <c r="L15" s="735">
        <v>750</v>
      </c>
      <c r="M15" s="736">
        <v>1</v>
      </c>
      <c r="N15" s="737">
        <v>16250</v>
      </c>
      <c r="O15" s="738">
        <v>16250</v>
      </c>
      <c r="P15" s="739"/>
      <c r="Q15" s="740"/>
      <c r="R15" s="738"/>
      <c r="S15" s="739"/>
      <c r="T15" s="740"/>
      <c r="U15" s="738">
        <f>O15+R15</f>
        <v>16250</v>
      </c>
      <c r="V15" s="741">
        <f>N15-U15</f>
        <v>0</v>
      </c>
      <c r="W15" s="734">
        <v>42297</v>
      </c>
      <c r="X15" s="742">
        <f t="shared" si="3"/>
        <v>630.9</v>
      </c>
      <c r="Y15" s="742"/>
      <c r="Z15" s="742"/>
      <c r="AA15" s="742">
        <f t="shared" si="4"/>
        <v>21871.199999999997</v>
      </c>
      <c r="AB15" s="773" t="s">
        <v>382</v>
      </c>
      <c r="AC15" s="774" t="s">
        <v>374</v>
      </c>
      <c r="AD15" s="508"/>
      <c r="AF15" s="482"/>
      <c r="AG15" s="482"/>
      <c r="AH15" s="482"/>
      <c r="AI15" s="482"/>
      <c r="AJ15" s="482"/>
      <c r="AK15" s="482"/>
      <c r="AL15" s="482"/>
      <c r="AM15" s="482"/>
      <c r="AN15" s="482"/>
      <c r="AO15" s="482"/>
      <c r="AP15" s="482"/>
      <c r="AQ15" s="482"/>
      <c r="AR15" s="482"/>
      <c r="AS15" s="482"/>
      <c r="AT15" s="482"/>
      <c r="AU15" s="482"/>
      <c r="AV15" s="482"/>
      <c r="AW15" s="482"/>
      <c r="AX15" s="482"/>
      <c r="AY15" s="482"/>
      <c r="AZ15" s="482"/>
      <c r="BA15" s="482"/>
      <c r="BB15" s="482"/>
      <c r="BC15" s="482"/>
      <c r="BD15" s="482"/>
      <c r="BE15" s="482"/>
      <c r="BF15" s="482"/>
      <c r="BG15" s="482"/>
      <c r="BH15" s="482"/>
      <c r="BI15" s="482"/>
      <c r="BJ15" s="482"/>
      <c r="BK15" s="482"/>
      <c r="BL15" s="482"/>
      <c r="BM15" s="482"/>
      <c r="BN15" s="482"/>
    </row>
    <row r="16" spans="1:256" s="852" customFormat="1">
      <c r="A16" s="1002">
        <v>1</v>
      </c>
      <c r="B16" s="1003" t="s">
        <v>524</v>
      </c>
      <c r="C16" s="1004" t="s">
        <v>254</v>
      </c>
      <c r="D16" s="1005">
        <v>42279</v>
      </c>
      <c r="E16" s="1006" t="s">
        <v>255</v>
      </c>
      <c r="F16" s="1007">
        <f>77</f>
        <v>77</v>
      </c>
      <c r="G16" s="1004" t="s">
        <v>525</v>
      </c>
      <c r="H16" s="1020">
        <f>805078.49</f>
        <v>805078.49</v>
      </c>
      <c r="I16" s="1021">
        <f t="shared" si="0"/>
        <v>56355.494300000006</v>
      </c>
      <c r="J16" s="1022">
        <f t="shared" ref="J16" si="5">SUM(H16:I16)</f>
        <v>861433.98430000001</v>
      </c>
      <c r="K16" s="1008">
        <v>42283</v>
      </c>
      <c r="L16" s="1009">
        <f>14345</f>
        <v>14345</v>
      </c>
      <c r="M16" s="1010">
        <f>77</f>
        <v>77</v>
      </c>
      <c r="N16" s="1011">
        <f>720807</f>
        <v>720807</v>
      </c>
      <c r="O16" s="1012">
        <f>720807</f>
        <v>720807</v>
      </c>
      <c r="P16" s="1013">
        <f>77</f>
        <v>77</v>
      </c>
      <c r="Q16" s="1014">
        <v>0</v>
      </c>
      <c r="R16" s="1012">
        <f>0</f>
        <v>0</v>
      </c>
      <c r="S16" s="1013">
        <f>0</f>
        <v>0</v>
      </c>
      <c r="T16" s="1014">
        <v>0</v>
      </c>
      <c r="U16" s="412">
        <f>O16+R16</f>
        <v>720807</v>
      </c>
      <c r="V16" s="411">
        <f>N16-U16</f>
        <v>0</v>
      </c>
      <c r="W16" s="1008">
        <v>42283</v>
      </c>
      <c r="X16" s="1017">
        <f>(H16*3/100)</f>
        <v>24152.354699999996</v>
      </c>
      <c r="Y16" s="1017"/>
      <c r="Z16" s="1017"/>
      <c r="AA16" s="1017">
        <f>777129.84</f>
        <v>777129.84</v>
      </c>
      <c r="AB16" s="1018" t="s">
        <v>526</v>
      </c>
      <c r="AC16" s="1019" t="s">
        <v>256</v>
      </c>
      <c r="AD16" s="654" t="s">
        <v>527</v>
      </c>
      <c r="AE16" s="1015"/>
      <c r="AF16" s="1016"/>
      <c r="AG16" s="1016"/>
      <c r="AH16" s="1016"/>
      <c r="AI16" s="1016"/>
      <c r="AJ16" s="1016"/>
      <c r="AK16" s="1016"/>
      <c r="AL16" s="1016"/>
      <c r="AM16" s="1016"/>
      <c r="AN16" s="1016"/>
      <c r="AO16" s="1016"/>
      <c r="AP16" s="1016"/>
      <c r="AQ16" s="1016"/>
      <c r="AR16" s="1016"/>
      <c r="AS16" s="1016"/>
      <c r="AT16" s="1016"/>
      <c r="AU16" s="1016"/>
      <c r="AV16" s="1016"/>
      <c r="AW16" s="1016"/>
      <c r="AX16" s="1016"/>
      <c r="AY16" s="1016"/>
      <c r="AZ16" s="1016"/>
      <c r="BA16" s="1016"/>
      <c r="BB16" s="1016"/>
      <c r="BC16" s="1016"/>
      <c r="BD16" s="1016"/>
      <c r="BE16" s="1016"/>
      <c r="BF16" s="1016"/>
      <c r="BG16" s="1016"/>
      <c r="BH16" s="1016"/>
      <c r="BI16" s="1016"/>
      <c r="BJ16" s="1016"/>
      <c r="BK16" s="1016"/>
      <c r="BL16" s="1016"/>
      <c r="BM16" s="1016"/>
      <c r="BN16" s="1016"/>
      <c r="BO16" s="1015"/>
      <c r="BP16" s="1015"/>
      <c r="BQ16" s="1015"/>
      <c r="BR16" s="1015"/>
      <c r="BS16" s="1015"/>
      <c r="BT16" s="1015"/>
      <c r="BU16" s="1015"/>
      <c r="BV16" s="1015"/>
      <c r="BW16" s="1015"/>
      <c r="BX16" s="1015"/>
      <c r="BY16" s="1015"/>
      <c r="BZ16" s="1015"/>
      <c r="CA16" s="1015"/>
      <c r="CB16" s="1015"/>
      <c r="CC16" s="1015"/>
      <c r="CD16" s="1015"/>
      <c r="CE16" s="1015"/>
      <c r="CF16" s="1015"/>
      <c r="CG16" s="1015"/>
      <c r="CH16" s="1015"/>
      <c r="CI16" s="1015"/>
      <c r="CJ16" s="1015"/>
      <c r="CK16" s="1015"/>
      <c r="CL16" s="1015"/>
      <c r="CM16" s="1015"/>
      <c r="CN16" s="1015"/>
      <c r="CO16" s="1015"/>
      <c r="CP16" s="1015"/>
      <c r="CQ16" s="1015"/>
      <c r="CR16" s="1015"/>
      <c r="CS16" s="1015"/>
      <c r="CT16" s="1015"/>
      <c r="CU16" s="1015"/>
      <c r="CV16" s="1015"/>
      <c r="CW16" s="1015"/>
      <c r="CX16" s="1015"/>
      <c r="CY16" s="1015"/>
      <c r="CZ16" s="1015"/>
      <c r="DA16" s="1015"/>
      <c r="DB16" s="1015"/>
      <c r="DC16" s="1015"/>
      <c r="DD16" s="1015"/>
      <c r="DE16" s="1015"/>
      <c r="DF16" s="1015"/>
      <c r="DG16" s="1015"/>
      <c r="DH16" s="1015"/>
      <c r="DI16" s="1015"/>
      <c r="DJ16" s="1015"/>
      <c r="DK16" s="1015"/>
      <c r="DL16" s="1015"/>
      <c r="DM16" s="1015"/>
      <c r="DN16" s="1015"/>
      <c r="DO16" s="1015"/>
      <c r="DP16" s="1015"/>
      <c r="DQ16" s="1015"/>
      <c r="DR16" s="1015"/>
      <c r="DS16" s="1015"/>
      <c r="DT16" s="1015"/>
      <c r="DU16" s="1015"/>
      <c r="DV16" s="1015"/>
      <c r="DW16" s="1015"/>
      <c r="DX16" s="1015"/>
      <c r="DY16" s="1015"/>
      <c r="DZ16" s="1015"/>
      <c r="EA16" s="1015"/>
      <c r="EB16" s="1015"/>
      <c r="EC16" s="1015"/>
      <c r="ED16" s="1015"/>
      <c r="EE16" s="1015"/>
      <c r="EF16" s="1015"/>
      <c r="EG16" s="1015"/>
      <c r="EH16" s="1015"/>
      <c r="EI16" s="1015"/>
      <c r="EJ16" s="1015"/>
      <c r="EK16" s="1015"/>
      <c r="EL16" s="1015"/>
      <c r="EM16" s="1015"/>
      <c r="EN16" s="1015"/>
      <c r="EO16" s="1015"/>
      <c r="EP16" s="1015"/>
      <c r="EQ16" s="1015"/>
      <c r="ER16" s="1015"/>
      <c r="ES16" s="1015"/>
      <c r="ET16" s="1015"/>
      <c r="EU16" s="1015"/>
      <c r="EV16" s="1015"/>
      <c r="EW16" s="1015"/>
      <c r="EX16" s="1015"/>
      <c r="EY16" s="1015"/>
      <c r="EZ16" s="1015"/>
      <c r="FA16" s="1015"/>
      <c r="FB16" s="1015"/>
      <c r="FC16" s="1015"/>
      <c r="FD16" s="1015"/>
      <c r="FE16" s="1015"/>
      <c r="FF16" s="1015"/>
      <c r="FG16" s="1015"/>
      <c r="FH16" s="1015"/>
      <c r="FI16" s="1015"/>
      <c r="FJ16" s="1015"/>
      <c r="FK16" s="1015"/>
      <c r="FL16" s="1015"/>
      <c r="FM16" s="1015"/>
      <c r="FN16" s="1015"/>
      <c r="FO16" s="1015"/>
      <c r="FP16" s="1015"/>
      <c r="FQ16" s="1015"/>
      <c r="FR16" s="1015"/>
      <c r="FS16" s="1015"/>
      <c r="FT16" s="1015"/>
      <c r="FU16" s="1015"/>
      <c r="FV16" s="1015"/>
      <c r="FW16" s="1015"/>
      <c r="FX16" s="1015"/>
      <c r="FY16" s="1015"/>
      <c r="FZ16" s="1015"/>
      <c r="GA16" s="1015"/>
      <c r="GB16" s="1015"/>
      <c r="GC16" s="1015"/>
      <c r="GD16" s="1015"/>
      <c r="GE16" s="1015"/>
      <c r="GF16" s="1015"/>
      <c r="GG16" s="1015"/>
      <c r="GH16" s="1015"/>
      <c r="GI16" s="1015"/>
      <c r="GJ16" s="1015"/>
      <c r="GK16" s="1015"/>
      <c r="GL16" s="1015"/>
      <c r="GM16" s="1015"/>
      <c r="GN16" s="1015"/>
      <c r="GO16" s="1015"/>
      <c r="GP16" s="1015"/>
      <c r="GQ16" s="1015"/>
      <c r="GR16" s="1015"/>
      <c r="GS16" s="1015"/>
      <c r="GT16" s="1015"/>
      <c r="GU16" s="1015"/>
      <c r="GV16" s="1015"/>
      <c r="GW16" s="1015"/>
      <c r="GX16" s="1015"/>
      <c r="GY16" s="1015"/>
      <c r="GZ16" s="1015"/>
      <c r="HA16" s="1015"/>
      <c r="HB16" s="1015"/>
      <c r="HC16" s="1015"/>
      <c r="HD16" s="1015"/>
      <c r="HE16" s="1015"/>
      <c r="HF16" s="1015"/>
      <c r="HG16" s="1015"/>
      <c r="HH16" s="1015"/>
      <c r="HI16" s="1015"/>
      <c r="HJ16" s="1015"/>
      <c r="HK16" s="1015"/>
      <c r="HL16" s="1015"/>
      <c r="HM16" s="1015"/>
      <c r="HN16" s="1015"/>
      <c r="HO16" s="1015"/>
      <c r="HP16" s="1015"/>
      <c r="HQ16" s="1015"/>
      <c r="HR16" s="1015"/>
      <c r="HS16" s="1015"/>
      <c r="HT16" s="1015"/>
      <c r="HU16" s="1015"/>
      <c r="HV16" s="1015"/>
      <c r="HW16" s="1015"/>
      <c r="HX16" s="1015"/>
      <c r="HY16" s="1015"/>
      <c r="HZ16" s="1015"/>
      <c r="IA16" s="1015"/>
      <c r="IB16" s="1015"/>
      <c r="IC16" s="1015"/>
      <c r="ID16" s="1015"/>
      <c r="IE16" s="1015"/>
      <c r="IF16" s="1015"/>
      <c r="IG16" s="1015"/>
      <c r="IH16" s="1015"/>
      <c r="II16" s="1015"/>
      <c r="IJ16" s="1015"/>
      <c r="IK16" s="1015"/>
      <c r="IL16" s="1015"/>
      <c r="IM16" s="1015"/>
      <c r="IN16" s="1015"/>
      <c r="IO16" s="1015"/>
      <c r="IP16" s="1015"/>
      <c r="IQ16" s="1015"/>
      <c r="IR16" s="1015"/>
      <c r="IS16" s="1015"/>
      <c r="IT16" s="1015"/>
      <c r="IU16" s="1015"/>
      <c r="IV16" s="1015"/>
    </row>
    <row r="17" spans="1:66" ht="13.5" thickBot="1">
      <c r="A17" s="432"/>
      <c r="B17" s="507"/>
      <c r="C17" s="506"/>
      <c r="D17" s="423"/>
      <c r="E17" s="776"/>
      <c r="F17" s="505"/>
      <c r="G17" s="504"/>
      <c r="H17" s="420"/>
      <c r="I17" s="419">
        <f t="shared" si="0"/>
        <v>0</v>
      </c>
      <c r="J17" s="418">
        <f t="shared" si="1"/>
        <v>0</v>
      </c>
      <c r="K17" s="397"/>
      <c r="L17" s="503"/>
      <c r="M17" s="501"/>
      <c r="N17" s="725"/>
      <c r="O17" s="502"/>
      <c r="P17" s="501"/>
      <c r="Q17" s="501"/>
      <c r="R17" s="412"/>
      <c r="S17" s="414"/>
      <c r="T17" s="413"/>
      <c r="U17" s="415"/>
      <c r="V17" s="427"/>
      <c r="W17" s="500"/>
      <c r="X17" s="409">
        <f t="shared" si="3"/>
        <v>0</v>
      </c>
      <c r="Y17" s="499"/>
      <c r="Z17" s="498"/>
      <c r="AA17" s="497">
        <f t="shared" si="4"/>
        <v>0</v>
      </c>
      <c r="AB17" s="496"/>
      <c r="AC17" s="495"/>
      <c r="AD17" s="494"/>
      <c r="AF17" s="482"/>
      <c r="AG17" s="482"/>
      <c r="AH17" s="482"/>
      <c r="AI17" s="482"/>
      <c r="AJ17" s="482"/>
      <c r="AK17" s="482"/>
      <c r="AL17" s="482"/>
      <c r="AM17" s="482"/>
      <c r="AN17" s="482"/>
      <c r="AO17" s="482"/>
      <c r="AP17" s="482"/>
      <c r="AQ17" s="482"/>
      <c r="AR17" s="482"/>
      <c r="AS17" s="482"/>
      <c r="AT17" s="482"/>
      <c r="AU17" s="482"/>
      <c r="AV17" s="482"/>
      <c r="AW17" s="482"/>
      <c r="AX17" s="482"/>
      <c r="AY17" s="482"/>
      <c r="AZ17" s="482"/>
      <c r="BA17" s="482"/>
      <c r="BB17" s="482"/>
      <c r="BC17" s="482"/>
      <c r="BD17" s="482"/>
      <c r="BE17" s="482"/>
      <c r="BF17" s="482"/>
      <c r="BG17" s="482"/>
      <c r="BH17" s="482"/>
      <c r="BI17" s="482"/>
      <c r="BJ17" s="482"/>
      <c r="BK17" s="482"/>
      <c r="BL17" s="482"/>
      <c r="BM17" s="482"/>
      <c r="BN17" s="482"/>
    </row>
    <row r="18" spans="1:66" s="1" customFormat="1" ht="13.5" thickBot="1">
      <c r="A18" s="1104" t="s">
        <v>93</v>
      </c>
      <c r="B18" s="1105"/>
      <c r="C18" s="1105"/>
      <c r="D18" s="1105"/>
      <c r="E18" s="1105"/>
      <c r="F18" s="830"/>
      <c r="G18" s="959"/>
      <c r="H18" s="493">
        <f>SUM(H7:H17)</f>
        <v>7160692.3700000001</v>
      </c>
      <c r="I18" s="493">
        <f>SUM(I7:I17)</f>
        <v>501248.46590000007</v>
      </c>
      <c r="J18" s="493">
        <f>SUM(J7:J17)</f>
        <v>7661940.8359000003</v>
      </c>
      <c r="K18" s="381"/>
      <c r="L18" s="378" t="s">
        <v>272</v>
      </c>
      <c r="M18" s="378"/>
      <c r="N18" s="378">
        <f>SUM(N7:N17)</f>
        <v>6287653.2199999997</v>
      </c>
      <c r="O18" s="378"/>
      <c r="P18" s="378"/>
      <c r="Q18" s="384"/>
      <c r="R18" s="378"/>
      <c r="S18" s="383"/>
      <c r="T18" s="383"/>
      <c r="U18" s="378"/>
      <c r="V18" s="382"/>
      <c r="W18" s="492"/>
      <c r="X18" s="489"/>
      <c r="Y18" s="491"/>
      <c r="Z18" s="490"/>
      <c r="AA18" s="489"/>
      <c r="AB18" s="488"/>
      <c r="AC18" s="487"/>
      <c r="AD18" s="486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</row>
    <row r="19" spans="1:66" ht="13.5" thickBot="1">
      <c r="A19" s="1084" t="s">
        <v>273</v>
      </c>
      <c r="B19" s="1085"/>
      <c r="C19" s="1085"/>
      <c r="D19" s="1085"/>
      <c r="E19" s="1085"/>
      <c r="F19" s="957"/>
      <c r="G19" s="374"/>
      <c r="H19" s="373">
        <f>H18</f>
        <v>7160692.3700000001</v>
      </c>
      <c r="I19" s="373">
        <f>I18</f>
        <v>501248.46590000007</v>
      </c>
      <c r="J19" s="485">
        <f>J18</f>
        <v>7661940.8359000003</v>
      </c>
      <c r="K19" s="372"/>
      <c r="L19" s="370"/>
      <c r="M19" s="370"/>
      <c r="N19" s="370"/>
      <c r="O19" s="370"/>
      <c r="P19" s="370"/>
      <c r="Q19" s="484">
        <f>SUM(Q3:Q17)</f>
        <v>0</v>
      </c>
      <c r="R19" s="370"/>
      <c r="S19" s="371"/>
      <c r="T19" s="371"/>
      <c r="U19" s="370"/>
      <c r="V19" s="369"/>
      <c r="W19" s="368"/>
      <c r="X19" s="483">
        <f>SUM(X7:X18)</f>
        <v>214820.77109999998</v>
      </c>
      <c r="Y19" s="367"/>
      <c r="Z19" s="366"/>
      <c r="AA19" s="483">
        <f>SUM(AA7:AA18)</f>
        <v>7386968.2752</v>
      </c>
      <c r="AB19" s="364"/>
      <c r="AC19" s="363"/>
      <c r="AF19" s="482"/>
      <c r="AG19" s="482"/>
      <c r="AH19" s="482"/>
      <c r="AI19" s="482"/>
      <c r="AJ19" s="482"/>
      <c r="AK19" s="482"/>
      <c r="AL19" s="482"/>
      <c r="AM19" s="482"/>
      <c r="AN19" s="482"/>
      <c r="AO19" s="482"/>
      <c r="AP19" s="482"/>
      <c r="AQ19" s="482"/>
      <c r="AR19" s="482"/>
      <c r="AS19" s="482"/>
      <c r="AT19" s="482"/>
      <c r="AU19" s="482"/>
      <c r="AV19" s="482"/>
      <c r="AW19" s="482"/>
      <c r="AX19" s="482"/>
      <c r="AY19" s="482"/>
      <c r="AZ19" s="482"/>
      <c r="BA19" s="482"/>
      <c r="BB19" s="482"/>
      <c r="BC19" s="482"/>
      <c r="BD19" s="482"/>
      <c r="BE19" s="482"/>
      <c r="BF19" s="482"/>
      <c r="BG19" s="482"/>
      <c r="BH19" s="482"/>
      <c r="BI19" s="482"/>
      <c r="BJ19" s="482"/>
      <c r="BK19" s="482"/>
      <c r="BL19" s="482"/>
      <c r="BM19" s="482"/>
      <c r="BN19" s="482"/>
    </row>
    <row r="20" spans="1:66" s="64" customFormat="1">
      <c r="B20" s="357"/>
      <c r="C20" s="356"/>
      <c r="D20" s="357"/>
      <c r="I20" s="350"/>
      <c r="J20" s="350"/>
      <c r="K20" s="481"/>
      <c r="L20" s="1000" t="s">
        <v>521</v>
      </c>
      <c r="M20" s="1001">
        <f>M10+M11+M12+M13</f>
        <v>266</v>
      </c>
      <c r="N20" s="1000" t="s">
        <v>94</v>
      </c>
      <c r="O20" s="359"/>
      <c r="P20" s="359"/>
      <c r="Q20" s="480"/>
      <c r="R20" s="359"/>
      <c r="S20" s="479"/>
      <c r="T20" s="479"/>
      <c r="U20" s="359"/>
      <c r="V20" s="478"/>
      <c r="W20" s="358"/>
      <c r="Y20" s="356"/>
      <c r="Z20" s="357"/>
      <c r="AC20" s="357"/>
      <c r="AD20" s="356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</row>
    <row r="21" spans="1:66" s="64" customFormat="1">
      <c r="B21" s="357"/>
      <c r="C21" s="356"/>
      <c r="D21" s="357"/>
      <c r="H21" s="338"/>
      <c r="I21" s="361"/>
      <c r="J21" s="350"/>
      <c r="K21" s="353"/>
      <c r="L21" s="347"/>
      <c r="M21" s="347"/>
      <c r="N21" s="347"/>
      <c r="O21" s="347"/>
      <c r="P21" s="347"/>
      <c r="Q21" s="477"/>
      <c r="R21" s="347"/>
      <c r="S21" s="348"/>
      <c r="T21" s="348"/>
      <c r="U21" s="347"/>
      <c r="V21" s="346"/>
      <c r="W21" s="358"/>
      <c r="Y21" s="356"/>
      <c r="Z21" s="357"/>
      <c r="AC21" s="357"/>
      <c r="AD21" s="356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</row>
    <row r="22" spans="1:66" ht="15">
      <c r="I22" s="991" t="s">
        <v>93</v>
      </c>
      <c r="J22" s="992">
        <f>SUM(H7:H17)</f>
        <v>7160692.3700000001</v>
      </c>
      <c r="K22" s="993"/>
      <c r="L22" s="994">
        <f>SUM(L7:L17)</f>
        <v>120628</v>
      </c>
      <c r="M22" s="995"/>
      <c r="N22" s="994">
        <f>SUM(N7:N17)</f>
        <v>6287653.2199999997</v>
      </c>
      <c r="O22" s="350"/>
      <c r="P22" s="350"/>
      <c r="Q22" s="352"/>
      <c r="R22" s="350"/>
      <c r="S22" s="351"/>
      <c r="T22" s="351"/>
      <c r="U22" s="350"/>
      <c r="V22" s="349"/>
    </row>
    <row r="23" spans="1:66">
      <c r="A23" s="1"/>
      <c r="E23" s="1"/>
      <c r="F23" s="1"/>
      <c r="G23" s="1"/>
      <c r="I23" s="996" t="s">
        <v>408</v>
      </c>
      <c r="J23" s="997">
        <f>9000</f>
        <v>9000</v>
      </c>
      <c r="L23" s="347"/>
      <c r="M23" s="347"/>
      <c r="N23" s="347"/>
      <c r="O23" s="347"/>
      <c r="P23" s="347"/>
      <c r="Q23" s="475"/>
      <c r="R23" s="347"/>
      <c r="S23" s="348"/>
      <c r="T23" s="348"/>
      <c r="U23" s="347"/>
      <c r="V23" s="346"/>
    </row>
    <row r="24" spans="1:66">
      <c r="I24" s="998" t="s">
        <v>522</v>
      </c>
      <c r="J24" s="999">
        <f>J22-J23</f>
        <v>7151692.3700000001</v>
      </c>
      <c r="O24" s="474"/>
      <c r="P24" s="474"/>
      <c r="Q24" s="343"/>
      <c r="R24" s="474"/>
      <c r="S24" s="473"/>
      <c r="T24" s="473"/>
    </row>
    <row r="25" spans="1:66">
      <c r="I25" s="996" t="s">
        <v>221</v>
      </c>
      <c r="J25" s="997">
        <f>H14</f>
        <v>24000</v>
      </c>
      <c r="Q25" s="344"/>
    </row>
    <row r="26" spans="1:66">
      <c r="I26" s="998" t="s">
        <v>523</v>
      </c>
      <c r="J26" s="999">
        <f>J24-J25</f>
        <v>7127692.3700000001</v>
      </c>
      <c r="Q26" s="343"/>
    </row>
    <row r="28" spans="1:66" ht="20.25">
      <c r="B28" s="472" t="s">
        <v>511</v>
      </c>
      <c r="C28" s="471"/>
      <c r="D28" s="470"/>
      <c r="E28" s="469"/>
      <c r="F28" s="469"/>
      <c r="G28" s="469"/>
    </row>
    <row r="29" spans="1:66" ht="20.25">
      <c r="B29" s="472" t="s">
        <v>226</v>
      </c>
      <c r="C29" s="471"/>
      <c r="D29" s="470"/>
      <c r="E29" s="469"/>
      <c r="F29" s="469"/>
      <c r="G29" s="469"/>
    </row>
    <row r="30" spans="1:66" ht="13.5" thickBot="1"/>
    <row r="31" spans="1:66">
      <c r="A31" s="468" t="s">
        <v>227</v>
      </c>
      <c r="B31" s="1086" t="s">
        <v>274</v>
      </c>
      <c r="C31" s="1086"/>
      <c r="D31" s="1087"/>
      <c r="E31" s="1087"/>
      <c r="F31" s="467" t="s">
        <v>229</v>
      </c>
      <c r="G31" s="467" t="s">
        <v>230</v>
      </c>
      <c r="H31" s="1088" t="s">
        <v>231</v>
      </c>
      <c r="I31" s="1089"/>
      <c r="J31" s="1090"/>
      <c r="K31" s="466" t="s">
        <v>139</v>
      </c>
      <c r="L31" s="954"/>
      <c r="M31" s="954"/>
      <c r="N31" s="955"/>
      <c r="O31" s="953" t="s">
        <v>139</v>
      </c>
      <c r="P31" s="954"/>
      <c r="Q31" s="954"/>
      <c r="R31" s="954"/>
      <c r="S31" s="954"/>
      <c r="T31" s="954"/>
      <c r="U31" s="955"/>
      <c r="V31" s="465"/>
      <c r="W31" s="840" t="s">
        <v>233</v>
      </c>
      <c r="X31" s="1109" t="s">
        <v>234</v>
      </c>
      <c r="Y31" s="1110"/>
      <c r="Z31" s="1111"/>
      <c r="AA31" s="841" t="s">
        <v>235</v>
      </c>
      <c r="AB31" s="464" t="s">
        <v>275</v>
      </c>
      <c r="AC31" s="1092" t="s">
        <v>276</v>
      </c>
      <c r="AD31" s="1093"/>
    </row>
    <row r="32" spans="1:66" ht="13.5" thickBot="1">
      <c r="A32" s="463"/>
      <c r="B32" s="462" t="s">
        <v>238</v>
      </c>
      <c r="C32" s="461"/>
      <c r="D32" s="460" t="s">
        <v>239</v>
      </c>
      <c r="E32" s="459" t="s">
        <v>240</v>
      </c>
      <c r="F32" s="458" t="s">
        <v>94</v>
      </c>
      <c r="G32" s="458"/>
      <c r="H32" s="455" t="s">
        <v>82</v>
      </c>
      <c r="I32" s="457" t="s">
        <v>241</v>
      </c>
      <c r="J32" s="456" t="s">
        <v>7</v>
      </c>
      <c r="K32" s="455" t="s">
        <v>277</v>
      </c>
      <c r="L32" s="454" t="s">
        <v>242</v>
      </c>
      <c r="M32" s="452" t="s">
        <v>243</v>
      </c>
      <c r="N32" s="447" t="s">
        <v>244</v>
      </c>
      <c r="O32" s="453" t="s">
        <v>245</v>
      </c>
      <c r="P32" s="452" t="s">
        <v>243</v>
      </c>
      <c r="Q32" s="451" t="s">
        <v>246</v>
      </c>
      <c r="R32" s="450" t="s">
        <v>247</v>
      </c>
      <c r="S32" s="449" t="s">
        <v>243</v>
      </c>
      <c r="T32" s="448"/>
      <c r="U32" s="447" t="s">
        <v>248</v>
      </c>
      <c r="V32" s="446" t="s">
        <v>249</v>
      </c>
      <c r="W32" s="842" t="s">
        <v>250</v>
      </c>
      <c r="X32" s="445" t="s">
        <v>251</v>
      </c>
      <c r="Y32" s="444" t="s">
        <v>252</v>
      </c>
      <c r="Z32" s="443" t="s">
        <v>238</v>
      </c>
      <c r="AA32" s="843" t="s">
        <v>253</v>
      </c>
      <c r="AB32" s="442" t="s">
        <v>278</v>
      </c>
      <c r="AC32" s="1094"/>
      <c r="AD32" s="1095"/>
    </row>
    <row r="33" spans="1:32">
      <c r="A33" s="432">
        <v>1</v>
      </c>
      <c r="B33" s="431" t="s">
        <v>256</v>
      </c>
      <c r="C33" s="421">
        <v>150077</v>
      </c>
      <c r="D33" s="975">
        <v>42251</v>
      </c>
      <c r="E33" s="437" t="s">
        <v>255</v>
      </c>
      <c r="F33" s="436">
        <v>77</v>
      </c>
      <c r="G33" s="421" t="s">
        <v>503</v>
      </c>
      <c r="H33" s="420">
        <v>747240.23</v>
      </c>
      <c r="I33" s="419">
        <f t="shared" ref="I33:I42" si="6">H33*7%</f>
        <v>52306.816100000004</v>
      </c>
      <c r="J33" s="418">
        <f t="shared" ref="J33:J42" si="7">SUM(H33:I33)</f>
        <v>799547.04610000004</v>
      </c>
      <c r="K33" s="724">
        <v>42251</v>
      </c>
      <c r="L33" s="416">
        <v>14138</v>
      </c>
      <c r="M33" s="395">
        <v>77</v>
      </c>
      <c r="N33" s="415">
        <v>671180</v>
      </c>
      <c r="O33" s="412">
        <v>671180</v>
      </c>
      <c r="P33" s="414">
        <v>76</v>
      </c>
      <c r="Q33" s="413"/>
      <c r="R33" s="412"/>
      <c r="S33" s="414"/>
      <c r="T33" s="413"/>
      <c r="U33" s="412">
        <f t="shared" ref="U33:U38" si="8">O33+R33</f>
        <v>671180</v>
      </c>
      <c r="V33" s="411">
        <f>N33-U33</f>
        <v>0</v>
      </c>
      <c r="W33" s="410">
        <v>42251</v>
      </c>
      <c r="X33" s="409">
        <f t="shared" ref="X33:X42" si="9">(H33*3/100)</f>
        <v>22417.206900000001</v>
      </c>
      <c r="Y33" s="409"/>
      <c r="Z33" s="972"/>
      <c r="AA33" s="408">
        <f t="shared" ref="AA33:AA42" si="10">J33-X33</f>
        <v>777129.83920000005</v>
      </c>
      <c r="AB33" s="407" t="s">
        <v>504</v>
      </c>
      <c r="AC33" s="775" t="s">
        <v>425</v>
      </c>
      <c r="AD33" s="768" t="s">
        <v>254</v>
      </c>
      <c r="AE33" s="438"/>
      <c r="AF33" s="438"/>
    </row>
    <row r="34" spans="1:32">
      <c r="A34" s="425">
        <v>2</v>
      </c>
      <c r="B34" s="431" t="s">
        <v>256</v>
      </c>
      <c r="C34" s="421">
        <f>C33+1</f>
        <v>150078</v>
      </c>
      <c r="D34" s="423">
        <v>42255</v>
      </c>
      <c r="E34" s="422" t="s">
        <v>260</v>
      </c>
      <c r="F34" s="429">
        <v>1</v>
      </c>
      <c r="G34" s="421" t="s">
        <v>512</v>
      </c>
      <c r="H34" s="420">
        <v>17780.439999999999</v>
      </c>
      <c r="I34" s="419">
        <f t="shared" si="6"/>
        <v>1244.6308000000001</v>
      </c>
      <c r="J34" s="418">
        <f t="shared" si="7"/>
        <v>19025.070799999998</v>
      </c>
      <c r="K34" s="724">
        <v>42213</v>
      </c>
      <c r="L34" s="416">
        <v>225</v>
      </c>
      <c r="M34" s="395">
        <v>1</v>
      </c>
      <c r="N34" s="415">
        <v>12481.02</v>
      </c>
      <c r="O34" s="412">
        <v>12481.02</v>
      </c>
      <c r="P34" s="414">
        <v>1</v>
      </c>
      <c r="Q34" s="413"/>
      <c r="R34" s="412"/>
      <c r="S34" s="414"/>
      <c r="T34" s="413"/>
      <c r="U34" s="412">
        <f t="shared" si="8"/>
        <v>12481.02</v>
      </c>
      <c r="V34" s="411">
        <f>N34-U34</f>
        <v>0</v>
      </c>
      <c r="W34" s="410">
        <v>42255</v>
      </c>
      <c r="X34" s="409">
        <f t="shared" si="9"/>
        <v>533.41319999999996</v>
      </c>
      <c r="Y34" s="409"/>
      <c r="Z34" s="409"/>
      <c r="AA34" s="408">
        <f t="shared" si="10"/>
        <v>18491.657599999999</v>
      </c>
      <c r="AB34" s="407" t="s">
        <v>513</v>
      </c>
      <c r="AC34" s="966" t="s">
        <v>377</v>
      </c>
      <c r="AD34" s="637" t="s">
        <v>258</v>
      </c>
      <c r="AE34" s="777"/>
      <c r="AF34" s="438"/>
    </row>
    <row r="35" spans="1:32">
      <c r="A35" s="432">
        <v>3</v>
      </c>
      <c r="B35" s="431" t="s">
        <v>256</v>
      </c>
      <c r="C35" s="421">
        <f t="shared" ref="C35:C41" si="11">C34+1</f>
        <v>150079</v>
      </c>
      <c r="D35" s="423">
        <v>42262</v>
      </c>
      <c r="E35" s="422" t="s">
        <v>263</v>
      </c>
      <c r="F35" s="429">
        <v>3</v>
      </c>
      <c r="G35" s="421" t="s">
        <v>420</v>
      </c>
      <c r="H35" s="420">
        <v>42040.08</v>
      </c>
      <c r="I35" s="419">
        <f t="shared" si="6"/>
        <v>2942.8056000000006</v>
      </c>
      <c r="J35" s="418">
        <f t="shared" si="7"/>
        <v>44982.885600000001</v>
      </c>
      <c r="K35" s="724">
        <v>42247</v>
      </c>
      <c r="L35" s="428">
        <v>1483</v>
      </c>
      <c r="M35" s="395">
        <v>3</v>
      </c>
      <c r="N35" s="415">
        <v>35230.33</v>
      </c>
      <c r="O35" s="412">
        <v>35230.33</v>
      </c>
      <c r="P35" s="414">
        <v>3</v>
      </c>
      <c r="Q35" s="413"/>
      <c r="R35" s="412"/>
      <c r="S35" s="414"/>
      <c r="T35" s="413"/>
      <c r="U35" s="412">
        <f t="shared" si="8"/>
        <v>35230.33</v>
      </c>
      <c r="V35" s="411">
        <f>N35-U35</f>
        <v>0</v>
      </c>
      <c r="W35" s="410">
        <v>42262</v>
      </c>
      <c r="X35" s="409">
        <f t="shared" si="9"/>
        <v>1261.2024000000001</v>
      </c>
      <c r="Y35" s="409"/>
      <c r="Z35" s="409"/>
      <c r="AA35" s="408">
        <f t="shared" si="10"/>
        <v>43721.683199999999</v>
      </c>
      <c r="AB35" s="407" t="s">
        <v>514</v>
      </c>
      <c r="AC35" s="966" t="s">
        <v>383</v>
      </c>
      <c r="AD35" s="637" t="s">
        <v>258</v>
      </c>
      <c r="AE35" s="438"/>
      <c r="AF35" s="438"/>
    </row>
    <row r="36" spans="1:32">
      <c r="A36" s="425">
        <v>4</v>
      </c>
      <c r="B36" s="431" t="s">
        <v>256</v>
      </c>
      <c r="C36" s="421">
        <f t="shared" si="11"/>
        <v>150080</v>
      </c>
      <c r="D36" s="423">
        <v>42268</v>
      </c>
      <c r="E36" s="422" t="s">
        <v>265</v>
      </c>
      <c r="F36" s="422">
        <v>9</v>
      </c>
      <c r="G36" s="421" t="s">
        <v>515</v>
      </c>
      <c r="H36" s="420">
        <v>226931.58</v>
      </c>
      <c r="I36" s="419">
        <f t="shared" si="6"/>
        <v>15885.2106</v>
      </c>
      <c r="J36" s="418">
        <f t="shared" si="7"/>
        <v>242816.79059999998</v>
      </c>
      <c r="K36" s="724">
        <v>42216</v>
      </c>
      <c r="L36" s="428">
        <v>5925</v>
      </c>
      <c r="M36" s="395">
        <v>9</v>
      </c>
      <c r="N36" s="415">
        <v>201558.78</v>
      </c>
      <c r="O36" s="412">
        <v>201558.78</v>
      </c>
      <c r="P36" s="414">
        <v>9</v>
      </c>
      <c r="Q36" s="413"/>
      <c r="R36" s="412"/>
      <c r="S36" s="414"/>
      <c r="T36" s="413"/>
      <c r="U36" s="412">
        <f t="shared" si="8"/>
        <v>201558.78</v>
      </c>
      <c r="V36" s="411">
        <f>N36-U36</f>
        <v>0</v>
      </c>
      <c r="W36" s="410">
        <v>42267</v>
      </c>
      <c r="X36" s="409">
        <f t="shared" si="9"/>
        <v>6807.9474</v>
      </c>
      <c r="Y36" s="409"/>
      <c r="Z36" s="409"/>
      <c r="AA36" s="408">
        <f t="shared" si="10"/>
        <v>236008.84319999997</v>
      </c>
      <c r="AB36" s="407" t="s">
        <v>516</v>
      </c>
      <c r="AC36" s="966" t="s">
        <v>377</v>
      </c>
      <c r="AD36" s="637" t="s">
        <v>261</v>
      </c>
    </row>
    <row r="37" spans="1:32">
      <c r="A37" s="432">
        <v>5</v>
      </c>
      <c r="B37" s="431" t="s">
        <v>256</v>
      </c>
      <c r="C37" s="421">
        <f t="shared" si="11"/>
        <v>150081</v>
      </c>
      <c r="D37" s="423">
        <v>42268</v>
      </c>
      <c r="E37" s="437" t="s">
        <v>255</v>
      </c>
      <c r="F37" s="422">
        <v>77</v>
      </c>
      <c r="G37" s="421" t="s">
        <v>505</v>
      </c>
      <c r="H37" s="420">
        <v>638857.91</v>
      </c>
      <c r="I37" s="419">
        <f t="shared" si="6"/>
        <v>44720.053700000004</v>
      </c>
      <c r="J37" s="418">
        <f t="shared" si="7"/>
        <v>683577.96370000008</v>
      </c>
      <c r="K37" s="724">
        <v>42268</v>
      </c>
      <c r="L37" s="416">
        <v>14484</v>
      </c>
      <c r="M37" s="395">
        <v>75</v>
      </c>
      <c r="N37" s="415">
        <v>556488</v>
      </c>
      <c r="O37" s="412">
        <v>556488</v>
      </c>
      <c r="P37" s="414">
        <v>75</v>
      </c>
      <c r="Q37" s="413"/>
      <c r="R37" s="412"/>
      <c r="S37" s="414"/>
      <c r="T37" s="413"/>
      <c r="U37" s="412">
        <f t="shared" si="8"/>
        <v>556488</v>
      </c>
      <c r="V37" s="411">
        <f>N37-U37</f>
        <v>0</v>
      </c>
      <c r="W37" s="410">
        <v>42268</v>
      </c>
      <c r="X37" s="409">
        <f t="shared" si="9"/>
        <v>19165.737300000001</v>
      </c>
      <c r="Y37" s="409"/>
      <c r="Z37" s="409"/>
      <c r="AA37" s="408">
        <f t="shared" si="10"/>
        <v>664412.22640000004</v>
      </c>
      <c r="AB37" s="407" t="s">
        <v>506</v>
      </c>
      <c r="AC37" s="966" t="s">
        <v>425</v>
      </c>
      <c r="AD37" s="637" t="s">
        <v>257</v>
      </c>
    </row>
    <row r="38" spans="1:32">
      <c r="A38" s="425">
        <v>6</v>
      </c>
      <c r="B38" s="431" t="s">
        <v>256</v>
      </c>
      <c r="C38" s="421">
        <f t="shared" si="11"/>
        <v>150082</v>
      </c>
      <c r="D38" s="423">
        <v>42275</v>
      </c>
      <c r="E38" s="430" t="s">
        <v>267</v>
      </c>
      <c r="F38" s="429">
        <v>93</v>
      </c>
      <c r="G38" s="421" t="s">
        <v>422</v>
      </c>
      <c r="H38" s="420">
        <v>1149484.48</v>
      </c>
      <c r="I38" s="419">
        <f t="shared" si="6"/>
        <v>80463.9136</v>
      </c>
      <c r="J38" s="418">
        <f t="shared" si="7"/>
        <v>1229948.3936000001</v>
      </c>
      <c r="K38" s="724">
        <v>42240</v>
      </c>
      <c r="L38" s="428">
        <v>28110</v>
      </c>
      <c r="M38" s="518">
        <v>93</v>
      </c>
      <c r="N38" s="434">
        <v>980919.77</v>
      </c>
      <c r="O38" s="434">
        <v>3063436.95</v>
      </c>
      <c r="P38" s="435">
        <v>239</v>
      </c>
      <c r="Q38" s="435"/>
      <c r="R38" s="434">
        <v>38167.910000000003</v>
      </c>
      <c r="S38" s="435">
        <v>6</v>
      </c>
      <c r="T38" s="435"/>
      <c r="U38" s="434">
        <f t="shared" si="8"/>
        <v>3101604.8600000003</v>
      </c>
      <c r="V38" s="517">
        <f>(N38+N39)-U38</f>
        <v>-0.61000000033527613</v>
      </c>
      <c r="W38" s="410">
        <v>42275</v>
      </c>
      <c r="X38" s="409">
        <f t="shared" si="9"/>
        <v>34484.534399999997</v>
      </c>
      <c r="Y38" s="409"/>
      <c r="Z38" s="409"/>
      <c r="AA38" s="408">
        <f t="shared" si="10"/>
        <v>1195463.8592000001</v>
      </c>
      <c r="AB38" s="850" t="s">
        <v>517</v>
      </c>
      <c r="AC38" s="966" t="s">
        <v>383</v>
      </c>
      <c r="AD38" s="637" t="s">
        <v>261</v>
      </c>
    </row>
    <row r="39" spans="1:32">
      <c r="A39" s="432">
        <v>7</v>
      </c>
      <c r="B39" s="431" t="s">
        <v>256</v>
      </c>
      <c r="C39" s="421">
        <f t="shared" si="11"/>
        <v>150083</v>
      </c>
      <c r="D39" s="423">
        <v>42275</v>
      </c>
      <c r="E39" s="430" t="s">
        <v>270</v>
      </c>
      <c r="F39" s="429">
        <v>152</v>
      </c>
      <c r="G39" s="421" t="s">
        <v>422</v>
      </c>
      <c r="H39" s="420">
        <v>2420839.0299999998</v>
      </c>
      <c r="I39" s="419">
        <f t="shared" si="6"/>
        <v>169458.73209999999</v>
      </c>
      <c r="J39" s="418">
        <f t="shared" si="7"/>
        <v>2590297.7620999999</v>
      </c>
      <c r="K39" s="724">
        <v>42240</v>
      </c>
      <c r="L39" s="514">
        <v>45744</v>
      </c>
      <c r="M39" s="440">
        <v>152</v>
      </c>
      <c r="N39" s="415">
        <v>2120684.48</v>
      </c>
      <c r="O39" s="415"/>
      <c r="P39" s="413"/>
      <c r="Q39" s="413"/>
      <c r="R39" s="415"/>
      <c r="S39" s="413"/>
      <c r="T39" s="413"/>
      <c r="U39" s="415"/>
      <c r="V39" s="513"/>
      <c r="W39" s="410">
        <v>42275</v>
      </c>
      <c r="X39" s="409">
        <f t="shared" si="9"/>
        <v>72625.170899999997</v>
      </c>
      <c r="Y39" s="409"/>
      <c r="Z39" s="409"/>
      <c r="AA39" s="408">
        <f t="shared" si="10"/>
        <v>2517672.5912000001</v>
      </c>
      <c r="AB39" s="426" t="s">
        <v>518</v>
      </c>
      <c r="AC39" s="966" t="s">
        <v>383</v>
      </c>
      <c r="AD39" s="976" t="s">
        <v>262</v>
      </c>
    </row>
    <row r="40" spans="1:32">
      <c r="A40" s="425">
        <v>8</v>
      </c>
      <c r="B40" s="424" t="s">
        <v>256</v>
      </c>
      <c r="C40" s="421">
        <f t="shared" si="11"/>
        <v>150084</v>
      </c>
      <c r="D40" s="423">
        <v>42275</v>
      </c>
      <c r="E40" s="430" t="s">
        <v>271</v>
      </c>
      <c r="F40" s="429">
        <v>8</v>
      </c>
      <c r="G40" s="512" t="s">
        <v>416</v>
      </c>
      <c r="H40" s="420">
        <v>62236.27</v>
      </c>
      <c r="I40" s="419">
        <f t="shared" si="6"/>
        <v>4356.5389000000005</v>
      </c>
      <c r="J40" s="418">
        <f t="shared" si="7"/>
        <v>66592.808900000004</v>
      </c>
      <c r="K40" s="724">
        <v>42240</v>
      </c>
      <c r="L40" s="428">
        <v>2058</v>
      </c>
      <c r="M40" s="395">
        <v>8</v>
      </c>
      <c r="N40" s="415">
        <v>50925.74</v>
      </c>
      <c r="O40" s="412">
        <v>50925.74</v>
      </c>
      <c r="P40" s="414">
        <v>8</v>
      </c>
      <c r="Q40" s="413"/>
      <c r="R40" s="412"/>
      <c r="S40" s="414"/>
      <c r="T40" s="413"/>
      <c r="U40" s="412">
        <f>O40+R40</f>
        <v>50925.74</v>
      </c>
      <c r="V40" s="411">
        <f>N40-U40</f>
        <v>0</v>
      </c>
      <c r="W40" s="410">
        <v>42275</v>
      </c>
      <c r="X40" s="409">
        <f t="shared" si="9"/>
        <v>1867.0880999999999</v>
      </c>
      <c r="Y40" s="409"/>
      <c r="Z40" s="409"/>
      <c r="AA40" s="408">
        <f t="shared" si="10"/>
        <v>64725.720800000003</v>
      </c>
      <c r="AB40" s="426" t="s">
        <v>519</v>
      </c>
      <c r="AC40" s="966" t="s">
        <v>383</v>
      </c>
      <c r="AD40" s="976" t="s">
        <v>293</v>
      </c>
    </row>
    <row r="41" spans="1:32">
      <c r="A41" s="425">
        <v>9</v>
      </c>
      <c r="B41" s="424" t="s">
        <v>256</v>
      </c>
      <c r="C41" s="421">
        <f t="shared" si="11"/>
        <v>150085</v>
      </c>
      <c r="D41" s="423">
        <v>42275</v>
      </c>
      <c r="E41" s="430" t="s">
        <v>423</v>
      </c>
      <c r="F41" s="429">
        <v>1</v>
      </c>
      <c r="G41" s="512" t="s">
        <v>416</v>
      </c>
      <c r="H41" s="420">
        <v>23000</v>
      </c>
      <c r="I41" s="419">
        <f t="shared" si="6"/>
        <v>1610.0000000000002</v>
      </c>
      <c r="J41" s="418">
        <f t="shared" si="7"/>
        <v>24610</v>
      </c>
      <c r="K41" s="724">
        <v>42240</v>
      </c>
      <c r="L41" s="428">
        <v>2058</v>
      </c>
      <c r="M41" s="395">
        <v>8</v>
      </c>
      <c r="N41" s="415">
        <v>50925.74</v>
      </c>
      <c r="O41" s="412">
        <v>50925.74</v>
      </c>
      <c r="P41" s="414">
        <v>8</v>
      </c>
      <c r="Q41" s="413"/>
      <c r="R41" s="412"/>
      <c r="S41" s="414"/>
      <c r="T41" s="413"/>
      <c r="U41" s="412">
        <f>O41+R41</f>
        <v>50925.74</v>
      </c>
      <c r="V41" s="411">
        <f>N41-U41</f>
        <v>0</v>
      </c>
      <c r="W41" s="410">
        <v>42275</v>
      </c>
      <c r="X41" s="409">
        <f t="shared" si="9"/>
        <v>690</v>
      </c>
      <c r="Y41" s="409"/>
      <c r="Z41" s="409"/>
      <c r="AA41" s="408">
        <f t="shared" si="10"/>
        <v>23920</v>
      </c>
      <c r="AB41" s="726"/>
      <c r="AC41" s="966" t="s">
        <v>383</v>
      </c>
      <c r="AD41" s="976" t="s">
        <v>266</v>
      </c>
    </row>
    <row r="42" spans="1:32">
      <c r="A42" s="778">
        <v>10</v>
      </c>
      <c r="B42" s="727" t="s">
        <v>374</v>
      </c>
      <c r="C42" s="728">
        <v>150654</v>
      </c>
      <c r="D42" s="771">
        <v>42268</v>
      </c>
      <c r="E42" s="729" t="s">
        <v>345</v>
      </c>
      <c r="F42" s="730">
        <v>1</v>
      </c>
      <c r="G42" s="851" t="s">
        <v>416</v>
      </c>
      <c r="H42" s="731">
        <v>20400</v>
      </c>
      <c r="I42" s="732">
        <f t="shared" si="6"/>
        <v>1428.0000000000002</v>
      </c>
      <c r="J42" s="733">
        <f t="shared" si="7"/>
        <v>21828</v>
      </c>
      <c r="K42" s="772">
        <v>42247</v>
      </c>
      <c r="L42" s="735">
        <v>750</v>
      </c>
      <c r="M42" s="736">
        <v>1</v>
      </c>
      <c r="N42" s="737">
        <v>16250</v>
      </c>
      <c r="O42" s="738">
        <v>16250</v>
      </c>
      <c r="P42" s="739">
        <v>1</v>
      </c>
      <c r="Q42" s="740"/>
      <c r="R42" s="738"/>
      <c r="S42" s="739"/>
      <c r="T42" s="740"/>
      <c r="U42" s="738">
        <f>O42+R42</f>
        <v>16250</v>
      </c>
      <c r="V42" s="741">
        <f>N42-U42</f>
        <v>0</v>
      </c>
      <c r="W42" s="734">
        <v>42267</v>
      </c>
      <c r="X42" s="742">
        <f t="shared" si="9"/>
        <v>612</v>
      </c>
      <c r="Y42" s="742"/>
      <c r="Z42" s="742"/>
      <c r="AA42" s="742">
        <f t="shared" si="10"/>
        <v>21216</v>
      </c>
      <c r="AB42" s="773" t="s">
        <v>520</v>
      </c>
      <c r="AC42" s="977" t="s">
        <v>424</v>
      </c>
      <c r="AD42" s="978" t="s">
        <v>254</v>
      </c>
    </row>
    <row r="43" spans="1:32" ht="13.5" thickBot="1">
      <c r="A43" s="406"/>
      <c r="B43" s="405"/>
      <c r="C43" s="404"/>
      <c r="D43" s="403"/>
      <c r="E43" s="402"/>
      <c r="F43" s="743"/>
      <c r="G43" s="401"/>
      <c r="H43" s="400"/>
      <c r="I43" s="399"/>
      <c r="J43" s="398"/>
      <c r="K43" s="397"/>
      <c r="L43" s="396"/>
      <c r="M43" s="395"/>
      <c r="N43" s="394"/>
      <c r="O43" s="391"/>
      <c r="P43" s="391"/>
      <c r="Q43" s="393"/>
      <c r="R43" s="391"/>
      <c r="S43" s="392"/>
      <c r="T43" s="392"/>
      <c r="U43" s="391"/>
      <c r="V43" s="390"/>
      <c r="W43" s="847"/>
      <c r="X43" s="979"/>
      <c r="Y43" s="980"/>
      <c r="Z43" s="981"/>
      <c r="AA43" s="982"/>
      <c r="AB43" s="389"/>
      <c r="AC43" s="388"/>
      <c r="AD43" s="387"/>
    </row>
    <row r="44" spans="1:32" s="1" customFormat="1" ht="13.5" thickBot="1">
      <c r="A44" s="1098" t="s">
        <v>93</v>
      </c>
      <c r="B44" s="1099"/>
      <c r="C44" s="1099"/>
      <c r="D44" s="1099"/>
      <c r="E44" s="1099"/>
      <c r="F44" s="830"/>
      <c r="G44" s="830"/>
      <c r="H44" s="386">
        <f>SUM(H33:H40)</f>
        <v>5305410.0199999996</v>
      </c>
      <c r="I44" s="386">
        <f>SUM(I33:I40)</f>
        <v>371378.70139999996</v>
      </c>
      <c r="J44" s="385">
        <f>SUM(J33:J40)</f>
        <v>5676788.7213999992</v>
      </c>
      <c r="K44" s="381"/>
      <c r="L44" s="378"/>
      <c r="M44" s="378"/>
      <c r="N44" s="378"/>
      <c r="O44" s="378"/>
      <c r="P44" s="378"/>
      <c r="Q44" s="384"/>
      <c r="R44" s="378"/>
      <c r="S44" s="383"/>
      <c r="T44" s="383"/>
      <c r="U44" s="378"/>
      <c r="V44" s="382"/>
      <c r="W44" s="381"/>
      <c r="X44" s="378"/>
      <c r="Y44" s="380"/>
      <c r="Z44" s="379"/>
      <c r="AA44" s="378"/>
      <c r="AB44" s="377"/>
      <c r="AC44" s="376"/>
      <c r="AD44" s="375"/>
    </row>
    <row r="45" spans="1:32" ht="13.5" thickBot="1">
      <c r="A45" s="1084" t="s">
        <v>273</v>
      </c>
      <c r="B45" s="1085"/>
      <c r="C45" s="1085"/>
      <c r="D45" s="1085"/>
      <c r="E45" s="1085"/>
      <c r="F45" s="957"/>
      <c r="G45" s="374"/>
      <c r="H45" s="373">
        <f>H44</f>
        <v>5305410.0199999996</v>
      </c>
      <c r="I45" s="373">
        <f>I44</f>
        <v>371378.70139999996</v>
      </c>
      <c r="J45" s="373">
        <f>J44</f>
        <v>5676788.7213999992</v>
      </c>
      <c r="K45" s="372"/>
      <c r="L45" s="370"/>
      <c r="M45" s="370"/>
      <c r="N45" s="370"/>
      <c r="O45" s="370"/>
      <c r="P45" s="370"/>
      <c r="Q45" s="370"/>
      <c r="R45" s="370"/>
      <c r="S45" s="371"/>
      <c r="T45" s="371"/>
      <c r="U45" s="370"/>
      <c r="V45" s="369"/>
      <c r="W45" s="368"/>
      <c r="X45" s="365">
        <f>SUM(X33:X44)</f>
        <v>160464.30059999999</v>
      </c>
      <c r="Y45" s="367"/>
      <c r="Z45" s="366"/>
      <c r="AA45" s="365">
        <f>SUM(AA33:AA44)</f>
        <v>5562762.4208000004</v>
      </c>
      <c r="AB45" s="364"/>
      <c r="AC45" s="363"/>
      <c r="AD45" s="362"/>
    </row>
    <row r="46" spans="1:32" s="64" customFormat="1">
      <c r="B46" s="357"/>
      <c r="C46" s="356"/>
      <c r="D46" s="357"/>
      <c r="I46" s="350"/>
      <c r="J46" s="350"/>
      <c r="K46" s="360"/>
      <c r="P46" s="983"/>
      <c r="Q46" s="983"/>
      <c r="R46" s="983"/>
      <c r="S46" s="983"/>
      <c r="T46" s="983"/>
      <c r="W46" s="358"/>
      <c r="Y46" s="356"/>
      <c r="Z46" s="357"/>
      <c r="AC46" s="357"/>
      <c r="AD46" s="356"/>
    </row>
    <row r="47" spans="1:32" s="64" customFormat="1">
      <c r="B47" s="357"/>
      <c r="C47" s="356"/>
      <c r="D47" s="357"/>
      <c r="H47" s="338"/>
      <c r="I47" s="361"/>
      <c r="J47" s="350"/>
      <c r="K47" s="360"/>
      <c r="L47" s="338"/>
      <c r="M47" s="338"/>
      <c r="N47" s="338"/>
      <c r="O47" s="350"/>
      <c r="P47" s="347"/>
      <c r="Q47" s="984"/>
      <c r="R47" s="347"/>
      <c r="S47" s="348"/>
      <c r="T47" s="348"/>
      <c r="U47" s="350"/>
      <c r="V47" s="349"/>
      <c r="W47" s="358"/>
      <c r="Y47" s="356"/>
      <c r="Z47" s="357"/>
      <c r="AC47" s="357"/>
      <c r="AD47" s="356"/>
    </row>
    <row r="48" spans="1:32" ht="13.5" thickBot="1">
      <c r="I48" s="355" t="s">
        <v>93</v>
      </c>
      <c r="J48" s="354">
        <f>H45+J47</f>
        <v>5305410.0199999996</v>
      </c>
      <c r="K48" s="353"/>
      <c r="O48" s="350"/>
      <c r="P48" s="347"/>
      <c r="Q48" s="352"/>
      <c r="R48" s="347"/>
      <c r="S48" s="348"/>
      <c r="T48" s="348"/>
      <c r="U48" s="350"/>
      <c r="V48" s="349"/>
    </row>
    <row r="49" spans="1:22" ht="13.5" thickTop="1">
      <c r="A49" s="1"/>
      <c r="E49" s="1"/>
      <c r="F49" s="1"/>
      <c r="G49" s="1"/>
      <c r="O49" s="347"/>
      <c r="P49" s="347"/>
      <c r="Q49" s="343"/>
      <c r="R49" s="347"/>
      <c r="S49" s="348"/>
      <c r="T49" s="348"/>
      <c r="U49" s="347"/>
      <c r="V49" s="346"/>
    </row>
    <row r="50" spans="1:22">
      <c r="P50" s="345"/>
      <c r="Q50" s="343"/>
      <c r="R50" s="345"/>
    </row>
    <row r="51" spans="1:22">
      <c r="Q51" s="344"/>
    </row>
    <row r="52" spans="1:22">
      <c r="Q52" s="343"/>
    </row>
  </sheetData>
  <mergeCells count="14">
    <mergeCell ref="A45:E45"/>
    <mergeCell ref="A44:E44"/>
    <mergeCell ref="AC5:AD6"/>
    <mergeCell ref="A18:E18"/>
    <mergeCell ref="B5:E5"/>
    <mergeCell ref="H5:J5"/>
    <mergeCell ref="L5:N5"/>
    <mergeCell ref="O5:U5"/>
    <mergeCell ref="X5:Z5"/>
    <mergeCell ref="A19:E19"/>
    <mergeCell ref="B31:E31"/>
    <mergeCell ref="H31:J31"/>
    <mergeCell ref="X31:Z31"/>
    <mergeCell ref="AC31:AD32"/>
  </mergeCells>
  <pageMargins left="0.15748031496062992" right="0.15748031496062992" top="0.31496062992125984" bottom="0.39370078740157483" header="0.19685039370078741" footer="0.15748031496062992"/>
  <pageSetup paperSize="9" scale="44" orientation="landscape" r:id="rId1"/>
  <headerFooter alignWithMargins="0">
    <oddFooter>&amp;R&amp;F
&amp;D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zoomScaleNormal="100" workbookViewId="0">
      <pane ySplit="3" topLeftCell="A4" activePane="bottomLeft" state="frozen"/>
      <selection activeCell="A67" sqref="A67"/>
      <selection pane="bottomLeft" activeCell="D6" sqref="D6"/>
    </sheetView>
  </sheetViews>
  <sheetFormatPr defaultRowHeight="12.75"/>
  <cols>
    <col min="1" max="1" width="9.28515625" style="336" bestFit="1" customWidth="1"/>
    <col min="2" max="2" width="55.28515625" bestFit="1" customWidth="1"/>
    <col min="3" max="3" width="11.85546875" customWidth="1"/>
    <col min="4" max="4" width="9.85546875" bestFit="1" customWidth="1"/>
    <col min="5" max="5" width="14.85546875" bestFit="1" customWidth="1"/>
    <col min="6" max="6" width="9.42578125" customWidth="1"/>
    <col min="7" max="7" width="13.85546875" bestFit="1" customWidth="1"/>
    <col min="9" max="9" width="12.140625" bestFit="1" customWidth="1"/>
  </cols>
  <sheetData>
    <row r="1" spans="1:10">
      <c r="A1" s="807" t="s">
        <v>470</v>
      </c>
    </row>
    <row r="2" spans="1:10" ht="13.5" thickBot="1"/>
    <row r="3" spans="1:10" ht="13.5" thickBot="1">
      <c r="A3" s="809" t="s">
        <v>227</v>
      </c>
      <c r="B3" s="810" t="s">
        <v>393</v>
      </c>
      <c r="C3" s="810" t="s">
        <v>475</v>
      </c>
      <c r="D3" s="819" t="s">
        <v>277</v>
      </c>
      <c r="E3" s="810" t="s">
        <v>394</v>
      </c>
      <c r="F3" s="810" t="s">
        <v>400</v>
      </c>
      <c r="G3" s="810" t="s">
        <v>397</v>
      </c>
      <c r="H3" s="810" t="s">
        <v>395</v>
      </c>
      <c r="I3" s="810" t="s">
        <v>242</v>
      </c>
      <c r="J3" s="811" t="s">
        <v>395</v>
      </c>
    </row>
    <row r="4" spans="1:10">
      <c r="A4" s="804"/>
      <c r="B4" s="438"/>
      <c r="C4" s="438"/>
      <c r="D4" s="820"/>
      <c r="E4" s="438"/>
      <c r="F4" s="438"/>
      <c r="G4" s="438"/>
      <c r="H4" s="438"/>
      <c r="I4" s="438"/>
      <c r="J4" s="802"/>
    </row>
    <row r="5" spans="1:10">
      <c r="A5" s="806"/>
      <c r="B5" s="805" t="s">
        <v>396</v>
      </c>
      <c r="C5" s="805"/>
      <c r="D5" s="821"/>
      <c r="E5" s="438"/>
      <c r="F5" s="438"/>
      <c r="G5" s="438"/>
      <c r="H5" s="438"/>
      <c r="I5" s="438"/>
      <c r="J5" s="802"/>
    </row>
    <row r="6" spans="1:10">
      <c r="A6" s="800">
        <v>1</v>
      </c>
      <c r="B6" s="796" t="s">
        <v>398</v>
      </c>
      <c r="C6" s="812" t="s">
        <v>476</v>
      </c>
      <c r="D6" s="822">
        <v>240592</v>
      </c>
      <c r="E6" s="812" t="s">
        <v>471</v>
      </c>
      <c r="F6" s="812">
        <f>79</f>
        <v>79</v>
      </c>
      <c r="G6" s="815">
        <f>901589.9</f>
        <v>901589.9</v>
      </c>
      <c r="H6" s="815">
        <f>0</f>
        <v>0</v>
      </c>
      <c r="I6" s="964">
        <f>41935</f>
        <v>41935</v>
      </c>
      <c r="J6" s="816">
        <f>0</f>
        <v>0</v>
      </c>
    </row>
    <row r="7" spans="1:10">
      <c r="A7" s="800">
        <v>2</v>
      </c>
      <c r="B7" s="796" t="s">
        <v>399</v>
      </c>
      <c r="C7" s="812" t="s">
        <v>477</v>
      </c>
      <c r="D7" s="822">
        <v>240599</v>
      </c>
      <c r="E7" s="812" t="s">
        <v>472</v>
      </c>
      <c r="F7" s="812">
        <f>4</f>
        <v>4</v>
      </c>
      <c r="G7" s="815">
        <f>84553.82</f>
        <v>84553.82</v>
      </c>
      <c r="H7" s="815">
        <f>0</f>
        <v>0</v>
      </c>
      <c r="I7" s="964">
        <f>1950</f>
        <v>1950</v>
      </c>
      <c r="J7" s="816">
        <f>0</f>
        <v>0</v>
      </c>
    </row>
    <row r="8" spans="1:10">
      <c r="A8" s="800">
        <v>3</v>
      </c>
      <c r="B8" s="796" t="s">
        <v>401</v>
      </c>
      <c r="C8" s="812" t="s">
        <v>478</v>
      </c>
      <c r="D8" s="822">
        <v>240604</v>
      </c>
      <c r="E8" s="812" t="s">
        <v>473</v>
      </c>
      <c r="F8" s="798">
        <f>49</f>
        <v>49</v>
      </c>
      <c r="G8" s="815">
        <f>445383.07</f>
        <v>445383.07</v>
      </c>
      <c r="H8" s="815">
        <f>0</f>
        <v>0</v>
      </c>
      <c r="I8" s="964">
        <f>22085</f>
        <v>22085</v>
      </c>
      <c r="J8" s="816">
        <f>0</f>
        <v>0</v>
      </c>
    </row>
    <row r="9" spans="1:10">
      <c r="A9" s="800">
        <v>4</v>
      </c>
      <c r="B9" s="796" t="s">
        <v>402</v>
      </c>
      <c r="C9" s="812" t="s">
        <v>478</v>
      </c>
      <c r="D9" s="822">
        <v>240604</v>
      </c>
      <c r="E9" s="812" t="s">
        <v>473</v>
      </c>
      <c r="F9" s="798">
        <f>32</f>
        <v>32</v>
      </c>
      <c r="G9" s="815">
        <f>356857.12</f>
        <v>356857.12</v>
      </c>
      <c r="H9" s="815">
        <f>0</f>
        <v>0</v>
      </c>
      <c r="I9" s="964">
        <f>17153</f>
        <v>17153</v>
      </c>
      <c r="J9" s="816">
        <f>0</f>
        <v>0</v>
      </c>
    </row>
    <row r="10" spans="1:10">
      <c r="A10" s="800">
        <v>5</v>
      </c>
      <c r="B10" s="796" t="s">
        <v>404</v>
      </c>
      <c r="C10" s="812" t="s">
        <v>478</v>
      </c>
      <c r="D10" s="822">
        <v>240604</v>
      </c>
      <c r="E10" s="812" t="s">
        <v>474</v>
      </c>
      <c r="F10" s="798">
        <f>60</f>
        <v>60</v>
      </c>
      <c r="G10" s="815">
        <f>502858.38</f>
        <v>502858.38</v>
      </c>
      <c r="H10" s="815">
        <f>0</f>
        <v>0</v>
      </c>
      <c r="I10" s="964">
        <f>26251</f>
        <v>26251</v>
      </c>
      <c r="J10" s="816">
        <f>0</f>
        <v>0</v>
      </c>
    </row>
    <row r="11" spans="1:10">
      <c r="A11" s="800">
        <v>6</v>
      </c>
      <c r="B11" s="796" t="s">
        <v>403</v>
      </c>
      <c r="C11" s="812" t="s">
        <v>478</v>
      </c>
      <c r="D11" s="822">
        <v>240604</v>
      </c>
      <c r="E11" s="812" t="s">
        <v>474</v>
      </c>
      <c r="F11" s="798">
        <f>51</f>
        <v>51</v>
      </c>
      <c r="G11" s="815">
        <f>644048.91</f>
        <v>644048.91</v>
      </c>
      <c r="H11" s="815">
        <f>0</f>
        <v>0</v>
      </c>
      <c r="I11" s="964">
        <f>30492</f>
        <v>30492</v>
      </c>
      <c r="J11" s="816">
        <f>0</f>
        <v>0</v>
      </c>
    </row>
    <row r="12" spans="1:10" ht="13.5" thickBot="1">
      <c r="A12" s="801"/>
      <c r="B12" s="797"/>
      <c r="C12" s="799"/>
      <c r="D12" s="823"/>
      <c r="E12" s="799"/>
      <c r="F12" s="799"/>
      <c r="G12" s="817"/>
      <c r="H12" s="815"/>
      <c r="I12" s="815"/>
      <c r="J12" s="816"/>
    </row>
    <row r="13" spans="1:10" ht="13.5" thickBot="1">
      <c r="A13" s="803"/>
      <c r="B13" s="808" t="s">
        <v>405</v>
      </c>
      <c r="C13" s="808"/>
      <c r="D13" s="824"/>
      <c r="E13" s="813"/>
      <c r="F13" s="813">
        <f>SUM(F6:F12)</f>
        <v>275</v>
      </c>
      <c r="G13" s="818">
        <f>SUM(G6:G12)</f>
        <v>2935291.2</v>
      </c>
      <c r="H13" s="818">
        <f>SUM(H6:H12)</f>
        <v>0</v>
      </c>
      <c r="I13" s="818">
        <f>SUM(I6:I12)</f>
        <v>139866</v>
      </c>
      <c r="J13" s="818">
        <f>SUM(J6:J12)</f>
        <v>0</v>
      </c>
    </row>
    <row r="14" spans="1:10" ht="13.5" thickBot="1">
      <c r="A14" s="804"/>
      <c r="B14" s="438"/>
      <c r="C14" s="438"/>
      <c r="D14" s="820"/>
      <c r="E14" s="814"/>
      <c r="F14" s="814"/>
      <c r="G14" s="1112">
        <f>SUM(G13:J13)</f>
        <v>3075157.2</v>
      </c>
      <c r="H14" s="1113"/>
      <c r="I14" s="1113"/>
      <c r="J14" s="1114"/>
    </row>
  </sheetData>
  <mergeCells count="1">
    <mergeCell ref="G14:J14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16"/>
  <sheetViews>
    <sheetView workbookViewId="0">
      <pane ySplit="17" topLeftCell="A65" activePane="bottomLeft" state="frozen"/>
      <selection activeCell="A67" sqref="A67"/>
      <selection pane="bottomLeft" activeCell="A3" sqref="A3"/>
    </sheetView>
  </sheetViews>
  <sheetFormatPr defaultRowHeight="12.75"/>
  <cols>
    <col min="1" max="1" width="12" customWidth="1"/>
    <col min="2" max="2" width="20.5703125" customWidth="1"/>
    <col min="3" max="3" width="12.7109375" customWidth="1"/>
    <col min="4" max="4" width="13.140625" customWidth="1"/>
    <col min="5" max="5" width="13.42578125" customWidth="1"/>
    <col min="6" max="6" width="26.5703125" customWidth="1"/>
    <col min="7" max="7" width="15.140625" customWidth="1"/>
    <col min="8" max="8" width="17.42578125" customWidth="1"/>
    <col min="9" max="9" width="18.5703125" customWidth="1"/>
    <col min="10" max="10" width="16.85546875" customWidth="1"/>
    <col min="11" max="11" width="26.85546875" customWidth="1"/>
    <col min="12" max="12" width="29.42578125" style="856" bestFit="1" customWidth="1"/>
    <col min="13" max="13" width="19.140625" customWidth="1"/>
    <col min="257" max="257" width="12" customWidth="1"/>
    <col min="258" max="258" width="20.5703125" customWidth="1"/>
    <col min="259" max="259" width="12.7109375" customWidth="1"/>
    <col min="260" max="260" width="13.140625" customWidth="1"/>
    <col min="261" max="261" width="13.42578125" customWidth="1"/>
    <col min="262" max="262" width="26.5703125" customWidth="1"/>
    <col min="263" max="263" width="15.140625" customWidth="1"/>
    <col min="264" max="264" width="17.42578125" customWidth="1"/>
    <col min="265" max="265" width="18.5703125" customWidth="1"/>
    <col min="266" max="266" width="16.85546875" customWidth="1"/>
    <col min="267" max="267" width="26.85546875" customWidth="1"/>
    <col min="268" max="268" width="29.42578125" bestFit="1" customWidth="1"/>
    <col min="269" max="269" width="19.140625" customWidth="1"/>
    <col min="513" max="513" width="12" customWidth="1"/>
    <col min="514" max="514" width="20.5703125" customWidth="1"/>
    <col min="515" max="515" width="12.7109375" customWidth="1"/>
    <col min="516" max="516" width="13.140625" customWidth="1"/>
    <col min="517" max="517" width="13.42578125" customWidth="1"/>
    <col min="518" max="518" width="26.5703125" customWidth="1"/>
    <col min="519" max="519" width="15.140625" customWidth="1"/>
    <col min="520" max="520" width="17.42578125" customWidth="1"/>
    <col min="521" max="521" width="18.5703125" customWidth="1"/>
    <col min="522" max="522" width="16.85546875" customWidth="1"/>
    <col min="523" max="523" width="26.85546875" customWidth="1"/>
    <col min="524" max="524" width="29.42578125" bestFit="1" customWidth="1"/>
    <col min="525" max="525" width="19.140625" customWidth="1"/>
    <col min="769" max="769" width="12" customWidth="1"/>
    <col min="770" max="770" width="20.5703125" customWidth="1"/>
    <col min="771" max="771" width="12.7109375" customWidth="1"/>
    <col min="772" max="772" width="13.140625" customWidth="1"/>
    <col min="773" max="773" width="13.42578125" customWidth="1"/>
    <col min="774" max="774" width="26.5703125" customWidth="1"/>
    <col min="775" max="775" width="15.140625" customWidth="1"/>
    <col min="776" max="776" width="17.42578125" customWidth="1"/>
    <col min="777" max="777" width="18.5703125" customWidth="1"/>
    <col min="778" max="778" width="16.85546875" customWidth="1"/>
    <col min="779" max="779" width="26.85546875" customWidth="1"/>
    <col min="780" max="780" width="29.42578125" bestFit="1" customWidth="1"/>
    <col min="781" max="781" width="19.140625" customWidth="1"/>
    <col min="1025" max="1025" width="12" customWidth="1"/>
    <col min="1026" max="1026" width="20.5703125" customWidth="1"/>
    <col min="1027" max="1027" width="12.7109375" customWidth="1"/>
    <col min="1028" max="1028" width="13.140625" customWidth="1"/>
    <col min="1029" max="1029" width="13.42578125" customWidth="1"/>
    <col min="1030" max="1030" width="26.5703125" customWidth="1"/>
    <col min="1031" max="1031" width="15.140625" customWidth="1"/>
    <col min="1032" max="1032" width="17.42578125" customWidth="1"/>
    <col min="1033" max="1033" width="18.5703125" customWidth="1"/>
    <col min="1034" max="1034" width="16.85546875" customWidth="1"/>
    <col min="1035" max="1035" width="26.85546875" customWidth="1"/>
    <col min="1036" max="1036" width="29.42578125" bestFit="1" customWidth="1"/>
    <col min="1037" max="1037" width="19.140625" customWidth="1"/>
    <col min="1281" max="1281" width="12" customWidth="1"/>
    <col min="1282" max="1282" width="20.5703125" customWidth="1"/>
    <col min="1283" max="1283" width="12.7109375" customWidth="1"/>
    <col min="1284" max="1284" width="13.140625" customWidth="1"/>
    <col min="1285" max="1285" width="13.42578125" customWidth="1"/>
    <col min="1286" max="1286" width="26.5703125" customWidth="1"/>
    <col min="1287" max="1287" width="15.140625" customWidth="1"/>
    <col min="1288" max="1288" width="17.42578125" customWidth="1"/>
    <col min="1289" max="1289" width="18.5703125" customWidth="1"/>
    <col min="1290" max="1290" width="16.85546875" customWidth="1"/>
    <col min="1291" max="1291" width="26.85546875" customWidth="1"/>
    <col min="1292" max="1292" width="29.42578125" bestFit="1" customWidth="1"/>
    <col min="1293" max="1293" width="19.140625" customWidth="1"/>
    <col min="1537" max="1537" width="12" customWidth="1"/>
    <col min="1538" max="1538" width="20.5703125" customWidth="1"/>
    <col min="1539" max="1539" width="12.7109375" customWidth="1"/>
    <col min="1540" max="1540" width="13.140625" customWidth="1"/>
    <col min="1541" max="1541" width="13.42578125" customWidth="1"/>
    <col min="1542" max="1542" width="26.5703125" customWidth="1"/>
    <col min="1543" max="1543" width="15.140625" customWidth="1"/>
    <col min="1544" max="1544" width="17.42578125" customWidth="1"/>
    <col min="1545" max="1545" width="18.5703125" customWidth="1"/>
    <col min="1546" max="1546" width="16.85546875" customWidth="1"/>
    <col min="1547" max="1547" width="26.85546875" customWidth="1"/>
    <col min="1548" max="1548" width="29.42578125" bestFit="1" customWidth="1"/>
    <col min="1549" max="1549" width="19.140625" customWidth="1"/>
    <col min="1793" max="1793" width="12" customWidth="1"/>
    <col min="1794" max="1794" width="20.5703125" customWidth="1"/>
    <col min="1795" max="1795" width="12.7109375" customWidth="1"/>
    <col min="1796" max="1796" width="13.140625" customWidth="1"/>
    <col min="1797" max="1797" width="13.42578125" customWidth="1"/>
    <col min="1798" max="1798" width="26.5703125" customWidth="1"/>
    <col min="1799" max="1799" width="15.140625" customWidth="1"/>
    <col min="1800" max="1800" width="17.42578125" customWidth="1"/>
    <col min="1801" max="1801" width="18.5703125" customWidth="1"/>
    <col min="1802" max="1802" width="16.85546875" customWidth="1"/>
    <col min="1803" max="1803" width="26.85546875" customWidth="1"/>
    <col min="1804" max="1804" width="29.42578125" bestFit="1" customWidth="1"/>
    <col min="1805" max="1805" width="19.140625" customWidth="1"/>
    <col min="2049" max="2049" width="12" customWidth="1"/>
    <col min="2050" max="2050" width="20.5703125" customWidth="1"/>
    <col min="2051" max="2051" width="12.7109375" customWidth="1"/>
    <col min="2052" max="2052" width="13.140625" customWidth="1"/>
    <col min="2053" max="2053" width="13.42578125" customWidth="1"/>
    <col min="2054" max="2054" width="26.5703125" customWidth="1"/>
    <col min="2055" max="2055" width="15.140625" customWidth="1"/>
    <col min="2056" max="2056" width="17.42578125" customWidth="1"/>
    <col min="2057" max="2057" width="18.5703125" customWidth="1"/>
    <col min="2058" max="2058" width="16.85546875" customWidth="1"/>
    <col min="2059" max="2059" width="26.85546875" customWidth="1"/>
    <col min="2060" max="2060" width="29.42578125" bestFit="1" customWidth="1"/>
    <col min="2061" max="2061" width="19.140625" customWidth="1"/>
    <col min="2305" max="2305" width="12" customWidth="1"/>
    <col min="2306" max="2306" width="20.5703125" customWidth="1"/>
    <col min="2307" max="2307" width="12.7109375" customWidth="1"/>
    <col min="2308" max="2308" width="13.140625" customWidth="1"/>
    <col min="2309" max="2309" width="13.42578125" customWidth="1"/>
    <col min="2310" max="2310" width="26.5703125" customWidth="1"/>
    <col min="2311" max="2311" width="15.140625" customWidth="1"/>
    <col min="2312" max="2312" width="17.42578125" customWidth="1"/>
    <col min="2313" max="2313" width="18.5703125" customWidth="1"/>
    <col min="2314" max="2314" width="16.85546875" customWidth="1"/>
    <col min="2315" max="2315" width="26.85546875" customWidth="1"/>
    <col min="2316" max="2316" width="29.42578125" bestFit="1" customWidth="1"/>
    <col min="2317" max="2317" width="19.140625" customWidth="1"/>
    <col min="2561" max="2561" width="12" customWidth="1"/>
    <col min="2562" max="2562" width="20.5703125" customWidth="1"/>
    <col min="2563" max="2563" width="12.7109375" customWidth="1"/>
    <col min="2564" max="2564" width="13.140625" customWidth="1"/>
    <col min="2565" max="2565" width="13.42578125" customWidth="1"/>
    <col min="2566" max="2566" width="26.5703125" customWidth="1"/>
    <col min="2567" max="2567" width="15.140625" customWidth="1"/>
    <col min="2568" max="2568" width="17.42578125" customWidth="1"/>
    <col min="2569" max="2569" width="18.5703125" customWidth="1"/>
    <col min="2570" max="2570" width="16.85546875" customWidth="1"/>
    <col min="2571" max="2571" width="26.85546875" customWidth="1"/>
    <col min="2572" max="2572" width="29.42578125" bestFit="1" customWidth="1"/>
    <col min="2573" max="2573" width="19.140625" customWidth="1"/>
    <col min="2817" max="2817" width="12" customWidth="1"/>
    <col min="2818" max="2818" width="20.5703125" customWidth="1"/>
    <col min="2819" max="2819" width="12.7109375" customWidth="1"/>
    <col min="2820" max="2820" width="13.140625" customWidth="1"/>
    <col min="2821" max="2821" width="13.42578125" customWidth="1"/>
    <col min="2822" max="2822" width="26.5703125" customWidth="1"/>
    <col min="2823" max="2823" width="15.140625" customWidth="1"/>
    <col min="2824" max="2824" width="17.42578125" customWidth="1"/>
    <col min="2825" max="2825" width="18.5703125" customWidth="1"/>
    <col min="2826" max="2826" width="16.85546875" customWidth="1"/>
    <col min="2827" max="2827" width="26.85546875" customWidth="1"/>
    <col min="2828" max="2828" width="29.42578125" bestFit="1" customWidth="1"/>
    <col min="2829" max="2829" width="19.140625" customWidth="1"/>
    <col min="3073" max="3073" width="12" customWidth="1"/>
    <col min="3074" max="3074" width="20.5703125" customWidth="1"/>
    <col min="3075" max="3075" width="12.7109375" customWidth="1"/>
    <col min="3076" max="3076" width="13.140625" customWidth="1"/>
    <col min="3077" max="3077" width="13.42578125" customWidth="1"/>
    <col min="3078" max="3078" width="26.5703125" customWidth="1"/>
    <col min="3079" max="3079" width="15.140625" customWidth="1"/>
    <col min="3080" max="3080" width="17.42578125" customWidth="1"/>
    <col min="3081" max="3081" width="18.5703125" customWidth="1"/>
    <col min="3082" max="3082" width="16.85546875" customWidth="1"/>
    <col min="3083" max="3083" width="26.85546875" customWidth="1"/>
    <col min="3084" max="3084" width="29.42578125" bestFit="1" customWidth="1"/>
    <col min="3085" max="3085" width="19.140625" customWidth="1"/>
    <col min="3329" max="3329" width="12" customWidth="1"/>
    <col min="3330" max="3330" width="20.5703125" customWidth="1"/>
    <col min="3331" max="3331" width="12.7109375" customWidth="1"/>
    <col min="3332" max="3332" width="13.140625" customWidth="1"/>
    <col min="3333" max="3333" width="13.42578125" customWidth="1"/>
    <col min="3334" max="3334" width="26.5703125" customWidth="1"/>
    <col min="3335" max="3335" width="15.140625" customWidth="1"/>
    <col min="3336" max="3336" width="17.42578125" customWidth="1"/>
    <col min="3337" max="3337" width="18.5703125" customWidth="1"/>
    <col min="3338" max="3338" width="16.85546875" customWidth="1"/>
    <col min="3339" max="3339" width="26.85546875" customWidth="1"/>
    <col min="3340" max="3340" width="29.42578125" bestFit="1" customWidth="1"/>
    <col min="3341" max="3341" width="19.140625" customWidth="1"/>
    <col min="3585" max="3585" width="12" customWidth="1"/>
    <col min="3586" max="3586" width="20.5703125" customWidth="1"/>
    <col min="3587" max="3587" width="12.7109375" customWidth="1"/>
    <col min="3588" max="3588" width="13.140625" customWidth="1"/>
    <col min="3589" max="3589" width="13.42578125" customWidth="1"/>
    <col min="3590" max="3590" width="26.5703125" customWidth="1"/>
    <col min="3591" max="3591" width="15.140625" customWidth="1"/>
    <col min="3592" max="3592" width="17.42578125" customWidth="1"/>
    <col min="3593" max="3593" width="18.5703125" customWidth="1"/>
    <col min="3594" max="3594" width="16.85546875" customWidth="1"/>
    <col min="3595" max="3595" width="26.85546875" customWidth="1"/>
    <col min="3596" max="3596" width="29.42578125" bestFit="1" customWidth="1"/>
    <col min="3597" max="3597" width="19.140625" customWidth="1"/>
    <col min="3841" max="3841" width="12" customWidth="1"/>
    <col min="3842" max="3842" width="20.5703125" customWidth="1"/>
    <col min="3843" max="3843" width="12.7109375" customWidth="1"/>
    <col min="3844" max="3844" width="13.140625" customWidth="1"/>
    <col min="3845" max="3845" width="13.42578125" customWidth="1"/>
    <col min="3846" max="3846" width="26.5703125" customWidth="1"/>
    <col min="3847" max="3847" width="15.140625" customWidth="1"/>
    <col min="3848" max="3848" width="17.42578125" customWidth="1"/>
    <col min="3849" max="3849" width="18.5703125" customWidth="1"/>
    <col min="3850" max="3850" width="16.85546875" customWidth="1"/>
    <col min="3851" max="3851" width="26.85546875" customWidth="1"/>
    <col min="3852" max="3852" width="29.42578125" bestFit="1" customWidth="1"/>
    <col min="3853" max="3853" width="19.140625" customWidth="1"/>
    <col min="4097" max="4097" width="12" customWidth="1"/>
    <col min="4098" max="4098" width="20.5703125" customWidth="1"/>
    <col min="4099" max="4099" width="12.7109375" customWidth="1"/>
    <col min="4100" max="4100" width="13.140625" customWidth="1"/>
    <col min="4101" max="4101" width="13.42578125" customWidth="1"/>
    <col min="4102" max="4102" width="26.5703125" customWidth="1"/>
    <col min="4103" max="4103" width="15.140625" customWidth="1"/>
    <col min="4104" max="4104" width="17.42578125" customWidth="1"/>
    <col min="4105" max="4105" width="18.5703125" customWidth="1"/>
    <col min="4106" max="4106" width="16.85546875" customWidth="1"/>
    <col min="4107" max="4107" width="26.85546875" customWidth="1"/>
    <col min="4108" max="4108" width="29.42578125" bestFit="1" customWidth="1"/>
    <col min="4109" max="4109" width="19.140625" customWidth="1"/>
    <col min="4353" max="4353" width="12" customWidth="1"/>
    <col min="4354" max="4354" width="20.5703125" customWidth="1"/>
    <col min="4355" max="4355" width="12.7109375" customWidth="1"/>
    <col min="4356" max="4356" width="13.140625" customWidth="1"/>
    <col min="4357" max="4357" width="13.42578125" customWidth="1"/>
    <col min="4358" max="4358" width="26.5703125" customWidth="1"/>
    <col min="4359" max="4359" width="15.140625" customWidth="1"/>
    <col min="4360" max="4360" width="17.42578125" customWidth="1"/>
    <col min="4361" max="4361" width="18.5703125" customWidth="1"/>
    <col min="4362" max="4362" width="16.85546875" customWidth="1"/>
    <col min="4363" max="4363" width="26.85546875" customWidth="1"/>
    <col min="4364" max="4364" width="29.42578125" bestFit="1" customWidth="1"/>
    <col min="4365" max="4365" width="19.140625" customWidth="1"/>
    <col min="4609" max="4609" width="12" customWidth="1"/>
    <col min="4610" max="4610" width="20.5703125" customWidth="1"/>
    <col min="4611" max="4611" width="12.7109375" customWidth="1"/>
    <col min="4612" max="4612" width="13.140625" customWidth="1"/>
    <col min="4613" max="4613" width="13.42578125" customWidth="1"/>
    <col min="4614" max="4614" width="26.5703125" customWidth="1"/>
    <col min="4615" max="4615" width="15.140625" customWidth="1"/>
    <col min="4616" max="4616" width="17.42578125" customWidth="1"/>
    <col min="4617" max="4617" width="18.5703125" customWidth="1"/>
    <col min="4618" max="4618" width="16.85546875" customWidth="1"/>
    <col min="4619" max="4619" width="26.85546875" customWidth="1"/>
    <col min="4620" max="4620" width="29.42578125" bestFit="1" customWidth="1"/>
    <col min="4621" max="4621" width="19.140625" customWidth="1"/>
    <col min="4865" max="4865" width="12" customWidth="1"/>
    <col min="4866" max="4866" width="20.5703125" customWidth="1"/>
    <col min="4867" max="4867" width="12.7109375" customWidth="1"/>
    <col min="4868" max="4868" width="13.140625" customWidth="1"/>
    <col min="4869" max="4869" width="13.42578125" customWidth="1"/>
    <col min="4870" max="4870" width="26.5703125" customWidth="1"/>
    <col min="4871" max="4871" width="15.140625" customWidth="1"/>
    <col min="4872" max="4872" width="17.42578125" customWidth="1"/>
    <col min="4873" max="4873" width="18.5703125" customWidth="1"/>
    <col min="4874" max="4874" width="16.85546875" customWidth="1"/>
    <col min="4875" max="4875" width="26.85546875" customWidth="1"/>
    <col min="4876" max="4876" width="29.42578125" bestFit="1" customWidth="1"/>
    <col min="4877" max="4877" width="19.140625" customWidth="1"/>
    <col min="5121" max="5121" width="12" customWidth="1"/>
    <col min="5122" max="5122" width="20.5703125" customWidth="1"/>
    <col min="5123" max="5123" width="12.7109375" customWidth="1"/>
    <col min="5124" max="5124" width="13.140625" customWidth="1"/>
    <col min="5125" max="5125" width="13.42578125" customWidth="1"/>
    <col min="5126" max="5126" width="26.5703125" customWidth="1"/>
    <col min="5127" max="5127" width="15.140625" customWidth="1"/>
    <col min="5128" max="5128" width="17.42578125" customWidth="1"/>
    <col min="5129" max="5129" width="18.5703125" customWidth="1"/>
    <col min="5130" max="5130" width="16.85546875" customWidth="1"/>
    <col min="5131" max="5131" width="26.85546875" customWidth="1"/>
    <col min="5132" max="5132" width="29.42578125" bestFit="1" customWidth="1"/>
    <col min="5133" max="5133" width="19.140625" customWidth="1"/>
    <col min="5377" max="5377" width="12" customWidth="1"/>
    <col min="5378" max="5378" width="20.5703125" customWidth="1"/>
    <col min="5379" max="5379" width="12.7109375" customWidth="1"/>
    <col min="5380" max="5380" width="13.140625" customWidth="1"/>
    <col min="5381" max="5381" width="13.42578125" customWidth="1"/>
    <col min="5382" max="5382" width="26.5703125" customWidth="1"/>
    <col min="5383" max="5383" width="15.140625" customWidth="1"/>
    <col min="5384" max="5384" width="17.42578125" customWidth="1"/>
    <col min="5385" max="5385" width="18.5703125" customWidth="1"/>
    <col min="5386" max="5386" width="16.85546875" customWidth="1"/>
    <col min="5387" max="5387" width="26.85546875" customWidth="1"/>
    <col min="5388" max="5388" width="29.42578125" bestFit="1" customWidth="1"/>
    <col min="5389" max="5389" width="19.140625" customWidth="1"/>
    <col min="5633" max="5633" width="12" customWidth="1"/>
    <col min="5634" max="5634" width="20.5703125" customWidth="1"/>
    <col min="5635" max="5635" width="12.7109375" customWidth="1"/>
    <col min="5636" max="5636" width="13.140625" customWidth="1"/>
    <col min="5637" max="5637" width="13.42578125" customWidth="1"/>
    <col min="5638" max="5638" width="26.5703125" customWidth="1"/>
    <col min="5639" max="5639" width="15.140625" customWidth="1"/>
    <col min="5640" max="5640" width="17.42578125" customWidth="1"/>
    <col min="5641" max="5641" width="18.5703125" customWidth="1"/>
    <col min="5642" max="5642" width="16.85546875" customWidth="1"/>
    <col min="5643" max="5643" width="26.85546875" customWidth="1"/>
    <col min="5644" max="5644" width="29.42578125" bestFit="1" customWidth="1"/>
    <col min="5645" max="5645" width="19.140625" customWidth="1"/>
    <col min="5889" max="5889" width="12" customWidth="1"/>
    <col min="5890" max="5890" width="20.5703125" customWidth="1"/>
    <col min="5891" max="5891" width="12.7109375" customWidth="1"/>
    <col min="5892" max="5892" width="13.140625" customWidth="1"/>
    <col min="5893" max="5893" width="13.42578125" customWidth="1"/>
    <col min="5894" max="5894" width="26.5703125" customWidth="1"/>
    <col min="5895" max="5895" width="15.140625" customWidth="1"/>
    <col min="5896" max="5896" width="17.42578125" customWidth="1"/>
    <col min="5897" max="5897" width="18.5703125" customWidth="1"/>
    <col min="5898" max="5898" width="16.85546875" customWidth="1"/>
    <col min="5899" max="5899" width="26.85546875" customWidth="1"/>
    <col min="5900" max="5900" width="29.42578125" bestFit="1" customWidth="1"/>
    <col min="5901" max="5901" width="19.140625" customWidth="1"/>
    <col min="6145" max="6145" width="12" customWidth="1"/>
    <col min="6146" max="6146" width="20.5703125" customWidth="1"/>
    <col min="6147" max="6147" width="12.7109375" customWidth="1"/>
    <col min="6148" max="6148" width="13.140625" customWidth="1"/>
    <col min="6149" max="6149" width="13.42578125" customWidth="1"/>
    <col min="6150" max="6150" width="26.5703125" customWidth="1"/>
    <col min="6151" max="6151" width="15.140625" customWidth="1"/>
    <col min="6152" max="6152" width="17.42578125" customWidth="1"/>
    <col min="6153" max="6153" width="18.5703125" customWidth="1"/>
    <col min="6154" max="6154" width="16.85546875" customWidth="1"/>
    <col min="6155" max="6155" width="26.85546875" customWidth="1"/>
    <col min="6156" max="6156" width="29.42578125" bestFit="1" customWidth="1"/>
    <col min="6157" max="6157" width="19.140625" customWidth="1"/>
    <col min="6401" max="6401" width="12" customWidth="1"/>
    <col min="6402" max="6402" width="20.5703125" customWidth="1"/>
    <col min="6403" max="6403" width="12.7109375" customWidth="1"/>
    <col min="6404" max="6404" width="13.140625" customWidth="1"/>
    <col min="6405" max="6405" width="13.42578125" customWidth="1"/>
    <col min="6406" max="6406" width="26.5703125" customWidth="1"/>
    <col min="6407" max="6407" width="15.140625" customWidth="1"/>
    <col min="6408" max="6408" width="17.42578125" customWidth="1"/>
    <col min="6409" max="6409" width="18.5703125" customWidth="1"/>
    <col min="6410" max="6410" width="16.85546875" customWidth="1"/>
    <col min="6411" max="6411" width="26.85546875" customWidth="1"/>
    <col min="6412" max="6412" width="29.42578125" bestFit="1" customWidth="1"/>
    <col min="6413" max="6413" width="19.140625" customWidth="1"/>
    <col min="6657" max="6657" width="12" customWidth="1"/>
    <col min="6658" max="6658" width="20.5703125" customWidth="1"/>
    <col min="6659" max="6659" width="12.7109375" customWidth="1"/>
    <col min="6660" max="6660" width="13.140625" customWidth="1"/>
    <col min="6661" max="6661" width="13.42578125" customWidth="1"/>
    <col min="6662" max="6662" width="26.5703125" customWidth="1"/>
    <col min="6663" max="6663" width="15.140625" customWidth="1"/>
    <col min="6664" max="6664" width="17.42578125" customWidth="1"/>
    <col min="6665" max="6665" width="18.5703125" customWidth="1"/>
    <col min="6666" max="6666" width="16.85546875" customWidth="1"/>
    <col min="6667" max="6667" width="26.85546875" customWidth="1"/>
    <col min="6668" max="6668" width="29.42578125" bestFit="1" customWidth="1"/>
    <col min="6669" max="6669" width="19.140625" customWidth="1"/>
    <col min="6913" max="6913" width="12" customWidth="1"/>
    <col min="6914" max="6914" width="20.5703125" customWidth="1"/>
    <col min="6915" max="6915" width="12.7109375" customWidth="1"/>
    <col min="6916" max="6916" width="13.140625" customWidth="1"/>
    <col min="6917" max="6917" width="13.42578125" customWidth="1"/>
    <col min="6918" max="6918" width="26.5703125" customWidth="1"/>
    <col min="6919" max="6919" width="15.140625" customWidth="1"/>
    <col min="6920" max="6920" width="17.42578125" customWidth="1"/>
    <col min="6921" max="6921" width="18.5703125" customWidth="1"/>
    <col min="6922" max="6922" width="16.85546875" customWidth="1"/>
    <col min="6923" max="6923" width="26.85546875" customWidth="1"/>
    <col min="6924" max="6924" width="29.42578125" bestFit="1" customWidth="1"/>
    <col min="6925" max="6925" width="19.140625" customWidth="1"/>
    <col min="7169" max="7169" width="12" customWidth="1"/>
    <col min="7170" max="7170" width="20.5703125" customWidth="1"/>
    <col min="7171" max="7171" width="12.7109375" customWidth="1"/>
    <col min="7172" max="7172" width="13.140625" customWidth="1"/>
    <col min="7173" max="7173" width="13.42578125" customWidth="1"/>
    <col min="7174" max="7174" width="26.5703125" customWidth="1"/>
    <col min="7175" max="7175" width="15.140625" customWidth="1"/>
    <col min="7176" max="7176" width="17.42578125" customWidth="1"/>
    <col min="7177" max="7177" width="18.5703125" customWidth="1"/>
    <col min="7178" max="7178" width="16.85546875" customWidth="1"/>
    <col min="7179" max="7179" width="26.85546875" customWidth="1"/>
    <col min="7180" max="7180" width="29.42578125" bestFit="1" customWidth="1"/>
    <col min="7181" max="7181" width="19.140625" customWidth="1"/>
    <col min="7425" max="7425" width="12" customWidth="1"/>
    <col min="7426" max="7426" width="20.5703125" customWidth="1"/>
    <col min="7427" max="7427" width="12.7109375" customWidth="1"/>
    <col min="7428" max="7428" width="13.140625" customWidth="1"/>
    <col min="7429" max="7429" width="13.42578125" customWidth="1"/>
    <col min="7430" max="7430" width="26.5703125" customWidth="1"/>
    <col min="7431" max="7431" width="15.140625" customWidth="1"/>
    <col min="7432" max="7432" width="17.42578125" customWidth="1"/>
    <col min="7433" max="7433" width="18.5703125" customWidth="1"/>
    <col min="7434" max="7434" width="16.85546875" customWidth="1"/>
    <col min="7435" max="7435" width="26.85546875" customWidth="1"/>
    <col min="7436" max="7436" width="29.42578125" bestFit="1" customWidth="1"/>
    <col min="7437" max="7437" width="19.140625" customWidth="1"/>
    <col min="7681" max="7681" width="12" customWidth="1"/>
    <col min="7682" max="7682" width="20.5703125" customWidth="1"/>
    <col min="7683" max="7683" width="12.7109375" customWidth="1"/>
    <col min="7684" max="7684" width="13.140625" customWidth="1"/>
    <col min="7685" max="7685" width="13.42578125" customWidth="1"/>
    <col min="7686" max="7686" width="26.5703125" customWidth="1"/>
    <col min="7687" max="7687" width="15.140625" customWidth="1"/>
    <col min="7688" max="7688" width="17.42578125" customWidth="1"/>
    <col min="7689" max="7689" width="18.5703125" customWidth="1"/>
    <col min="7690" max="7690" width="16.85546875" customWidth="1"/>
    <col min="7691" max="7691" width="26.85546875" customWidth="1"/>
    <col min="7692" max="7692" width="29.42578125" bestFit="1" customWidth="1"/>
    <col min="7693" max="7693" width="19.140625" customWidth="1"/>
    <col min="7937" max="7937" width="12" customWidth="1"/>
    <col min="7938" max="7938" width="20.5703125" customWidth="1"/>
    <col min="7939" max="7939" width="12.7109375" customWidth="1"/>
    <col min="7940" max="7940" width="13.140625" customWidth="1"/>
    <col min="7941" max="7941" width="13.42578125" customWidth="1"/>
    <col min="7942" max="7942" width="26.5703125" customWidth="1"/>
    <col min="7943" max="7943" width="15.140625" customWidth="1"/>
    <col min="7944" max="7944" width="17.42578125" customWidth="1"/>
    <col min="7945" max="7945" width="18.5703125" customWidth="1"/>
    <col min="7946" max="7946" width="16.85546875" customWidth="1"/>
    <col min="7947" max="7947" width="26.85546875" customWidth="1"/>
    <col min="7948" max="7948" width="29.42578125" bestFit="1" customWidth="1"/>
    <col min="7949" max="7949" width="19.140625" customWidth="1"/>
    <col min="8193" max="8193" width="12" customWidth="1"/>
    <col min="8194" max="8194" width="20.5703125" customWidth="1"/>
    <col min="8195" max="8195" width="12.7109375" customWidth="1"/>
    <col min="8196" max="8196" width="13.140625" customWidth="1"/>
    <col min="8197" max="8197" width="13.42578125" customWidth="1"/>
    <col min="8198" max="8198" width="26.5703125" customWidth="1"/>
    <col min="8199" max="8199" width="15.140625" customWidth="1"/>
    <col min="8200" max="8200" width="17.42578125" customWidth="1"/>
    <col min="8201" max="8201" width="18.5703125" customWidth="1"/>
    <col min="8202" max="8202" width="16.85546875" customWidth="1"/>
    <col min="8203" max="8203" width="26.85546875" customWidth="1"/>
    <col min="8204" max="8204" width="29.42578125" bestFit="1" customWidth="1"/>
    <col min="8205" max="8205" width="19.140625" customWidth="1"/>
    <col min="8449" max="8449" width="12" customWidth="1"/>
    <col min="8450" max="8450" width="20.5703125" customWidth="1"/>
    <col min="8451" max="8451" width="12.7109375" customWidth="1"/>
    <col min="8452" max="8452" width="13.140625" customWidth="1"/>
    <col min="8453" max="8453" width="13.42578125" customWidth="1"/>
    <col min="8454" max="8454" width="26.5703125" customWidth="1"/>
    <col min="8455" max="8455" width="15.140625" customWidth="1"/>
    <col min="8456" max="8456" width="17.42578125" customWidth="1"/>
    <col min="8457" max="8457" width="18.5703125" customWidth="1"/>
    <col min="8458" max="8458" width="16.85546875" customWidth="1"/>
    <col min="8459" max="8459" width="26.85546875" customWidth="1"/>
    <col min="8460" max="8460" width="29.42578125" bestFit="1" customWidth="1"/>
    <col min="8461" max="8461" width="19.140625" customWidth="1"/>
    <col min="8705" max="8705" width="12" customWidth="1"/>
    <col min="8706" max="8706" width="20.5703125" customWidth="1"/>
    <col min="8707" max="8707" width="12.7109375" customWidth="1"/>
    <col min="8708" max="8708" width="13.140625" customWidth="1"/>
    <col min="8709" max="8709" width="13.42578125" customWidth="1"/>
    <col min="8710" max="8710" width="26.5703125" customWidth="1"/>
    <col min="8711" max="8711" width="15.140625" customWidth="1"/>
    <col min="8712" max="8712" width="17.42578125" customWidth="1"/>
    <col min="8713" max="8713" width="18.5703125" customWidth="1"/>
    <col min="8714" max="8714" width="16.85546875" customWidth="1"/>
    <col min="8715" max="8715" width="26.85546875" customWidth="1"/>
    <col min="8716" max="8716" width="29.42578125" bestFit="1" customWidth="1"/>
    <col min="8717" max="8717" width="19.140625" customWidth="1"/>
    <col min="8961" max="8961" width="12" customWidth="1"/>
    <col min="8962" max="8962" width="20.5703125" customWidth="1"/>
    <col min="8963" max="8963" width="12.7109375" customWidth="1"/>
    <col min="8964" max="8964" width="13.140625" customWidth="1"/>
    <col min="8965" max="8965" width="13.42578125" customWidth="1"/>
    <col min="8966" max="8966" width="26.5703125" customWidth="1"/>
    <col min="8967" max="8967" width="15.140625" customWidth="1"/>
    <col min="8968" max="8968" width="17.42578125" customWidth="1"/>
    <col min="8969" max="8969" width="18.5703125" customWidth="1"/>
    <col min="8970" max="8970" width="16.85546875" customWidth="1"/>
    <col min="8971" max="8971" width="26.85546875" customWidth="1"/>
    <col min="8972" max="8972" width="29.42578125" bestFit="1" customWidth="1"/>
    <col min="8973" max="8973" width="19.140625" customWidth="1"/>
    <col min="9217" max="9217" width="12" customWidth="1"/>
    <col min="9218" max="9218" width="20.5703125" customWidth="1"/>
    <col min="9219" max="9219" width="12.7109375" customWidth="1"/>
    <col min="9220" max="9220" width="13.140625" customWidth="1"/>
    <col min="9221" max="9221" width="13.42578125" customWidth="1"/>
    <col min="9222" max="9222" width="26.5703125" customWidth="1"/>
    <col min="9223" max="9223" width="15.140625" customWidth="1"/>
    <col min="9224" max="9224" width="17.42578125" customWidth="1"/>
    <col min="9225" max="9225" width="18.5703125" customWidth="1"/>
    <col min="9226" max="9226" width="16.85546875" customWidth="1"/>
    <col min="9227" max="9227" width="26.85546875" customWidth="1"/>
    <col min="9228" max="9228" width="29.42578125" bestFit="1" customWidth="1"/>
    <col min="9229" max="9229" width="19.140625" customWidth="1"/>
    <col min="9473" max="9473" width="12" customWidth="1"/>
    <col min="9474" max="9474" width="20.5703125" customWidth="1"/>
    <col min="9475" max="9475" width="12.7109375" customWidth="1"/>
    <col min="9476" max="9476" width="13.140625" customWidth="1"/>
    <col min="9477" max="9477" width="13.42578125" customWidth="1"/>
    <col min="9478" max="9478" width="26.5703125" customWidth="1"/>
    <col min="9479" max="9479" width="15.140625" customWidth="1"/>
    <col min="9480" max="9480" width="17.42578125" customWidth="1"/>
    <col min="9481" max="9481" width="18.5703125" customWidth="1"/>
    <col min="9482" max="9482" width="16.85546875" customWidth="1"/>
    <col min="9483" max="9483" width="26.85546875" customWidth="1"/>
    <col min="9484" max="9484" width="29.42578125" bestFit="1" customWidth="1"/>
    <col min="9485" max="9485" width="19.140625" customWidth="1"/>
    <col min="9729" max="9729" width="12" customWidth="1"/>
    <col min="9730" max="9730" width="20.5703125" customWidth="1"/>
    <col min="9731" max="9731" width="12.7109375" customWidth="1"/>
    <col min="9732" max="9732" width="13.140625" customWidth="1"/>
    <col min="9733" max="9733" width="13.42578125" customWidth="1"/>
    <col min="9734" max="9734" width="26.5703125" customWidth="1"/>
    <col min="9735" max="9735" width="15.140625" customWidth="1"/>
    <col min="9736" max="9736" width="17.42578125" customWidth="1"/>
    <col min="9737" max="9737" width="18.5703125" customWidth="1"/>
    <col min="9738" max="9738" width="16.85546875" customWidth="1"/>
    <col min="9739" max="9739" width="26.85546875" customWidth="1"/>
    <col min="9740" max="9740" width="29.42578125" bestFit="1" customWidth="1"/>
    <col min="9741" max="9741" width="19.140625" customWidth="1"/>
    <col min="9985" max="9985" width="12" customWidth="1"/>
    <col min="9986" max="9986" width="20.5703125" customWidth="1"/>
    <col min="9987" max="9987" width="12.7109375" customWidth="1"/>
    <col min="9988" max="9988" width="13.140625" customWidth="1"/>
    <col min="9989" max="9989" width="13.42578125" customWidth="1"/>
    <col min="9990" max="9990" width="26.5703125" customWidth="1"/>
    <col min="9991" max="9991" width="15.140625" customWidth="1"/>
    <col min="9992" max="9992" width="17.42578125" customWidth="1"/>
    <col min="9993" max="9993" width="18.5703125" customWidth="1"/>
    <col min="9994" max="9994" width="16.85546875" customWidth="1"/>
    <col min="9995" max="9995" width="26.85546875" customWidth="1"/>
    <col min="9996" max="9996" width="29.42578125" bestFit="1" customWidth="1"/>
    <col min="9997" max="9997" width="19.140625" customWidth="1"/>
    <col min="10241" max="10241" width="12" customWidth="1"/>
    <col min="10242" max="10242" width="20.5703125" customWidth="1"/>
    <col min="10243" max="10243" width="12.7109375" customWidth="1"/>
    <col min="10244" max="10244" width="13.140625" customWidth="1"/>
    <col min="10245" max="10245" width="13.42578125" customWidth="1"/>
    <col min="10246" max="10246" width="26.5703125" customWidth="1"/>
    <col min="10247" max="10247" width="15.140625" customWidth="1"/>
    <col min="10248" max="10248" width="17.42578125" customWidth="1"/>
    <col min="10249" max="10249" width="18.5703125" customWidth="1"/>
    <col min="10250" max="10250" width="16.85546875" customWidth="1"/>
    <col min="10251" max="10251" width="26.85546875" customWidth="1"/>
    <col min="10252" max="10252" width="29.42578125" bestFit="1" customWidth="1"/>
    <col min="10253" max="10253" width="19.140625" customWidth="1"/>
    <col min="10497" max="10497" width="12" customWidth="1"/>
    <col min="10498" max="10498" width="20.5703125" customWidth="1"/>
    <col min="10499" max="10499" width="12.7109375" customWidth="1"/>
    <col min="10500" max="10500" width="13.140625" customWidth="1"/>
    <col min="10501" max="10501" width="13.42578125" customWidth="1"/>
    <col min="10502" max="10502" width="26.5703125" customWidth="1"/>
    <col min="10503" max="10503" width="15.140625" customWidth="1"/>
    <col min="10504" max="10504" width="17.42578125" customWidth="1"/>
    <col min="10505" max="10505" width="18.5703125" customWidth="1"/>
    <col min="10506" max="10506" width="16.85546875" customWidth="1"/>
    <col min="10507" max="10507" width="26.85546875" customWidth="1"/>
    <col min="10508" max="10508" width="29.42578125" bestFit="1" customWidth="1"/>
    <col min="10509" max="10509" width="19.140625" customWidth="1"/>
    <col min="10753" max="10753" width="12" customWidth="1"/>
    <col min="10754" max="10754" width="20.5703125" customWidth="1"/>
    <col min="10755" max="10755" width="12.7109375" customWidth="1"/>
    <col min="10756" max="10756" width="13.140625" customWidth="1"/>
    <col min="10757" max="10757" width="13.42578125" customWidth="1"/>
    <col min="10758" max="10758" width="26.5703125" customWidth="1"/>
    <col min="10759" max="10759" width="15.140625" customWidth="1"/>
    <col min="10760" max="10760" width="17.42578125" customWidth="1"/>
    <col min="10761" max="10761" width="18.5703125" customWidth="1"/>
    <col min="10762" max="10762" width="16.85546875" customWidth="1"/>
    <col min="10763" max="10763" width="26.85546875" customWidth="1"/>
    <col min="10764" max="10764" width="29.42578125" bestFit="1" customWidth="1"/>
    <col min="10765" max="10765" width="19.140625" customWidth="1"/>
    <col min="11009" max="11009" width="12" customWidth="1"/>
    <col min="11010" max="11010" width="20.5703125" customWidth="1"/>
    <col min="11011" max="11011" width="12.7109375" customWidth="1"/>
    <col min="11012" max="11012" width="13.140625" customWidth="1"/>
    <col min="11013" max="11013" width="13.42578125" customWidth="1"/>
    <col min="11014" max="11014" width="26.5703125" customWidth="1"/>
    <col min="11015" max="11015" width="15.140625" customWidth="1"/>
    <col min="11016" max="11016" width="17.42578125" customWidth="1"/>
    <col min="11017" max="11017" width="18.5703125" customWidth="1"/>
    <col min="11018" max="11018" width="16.85546875" customWidth="1"/>
    <col min="11019" max="11019" width="26.85546875" customWidth="1"/>
    <col min="11020" max="11020" width="29.42578125" bestFit="1" customWidth="1"/>
    <col min="11021" max="11021" width="19.140625" customWidth="1"/>
    <col min="11265" max="11265" width="12" customWidth="1"/>
    <col min="11266" max="11266" width="20.5703125" customWidth="1"/>
    <col min="11267" max="11267" width="12.7109375" customWidth="1"/>
    <col min="11268" max="11268" width="13.140625" customWidth="1"/>
    <col min="11269" max="11269" width="13.42578125" customWidth="1"/>
    <col min="11270" max="11270" width="26.5703125" customWidth="1"/>
    <col min="11271" max="11271" width="15.140625" customWidth="1"/>
    <col min="11272" max="11272" width="17.42578125" customWidth="1"/>
    <col min="11273" max="11273" width="18.5703125" customWidth="1"/>
    <col min="11274" max="11274" width="16.85546875" customWidth="1"/>
    <col min="11275" max="11275" width="26.85546875" customWidth="1"/>
    <col min="11276" max="11276" width="29.42578125" bestFit="1" customWidth="1"/>
    <col min="11277" max="11277" width="19.140625" customWidth="1"/>
    <col min="11521" max="11521" width="12" customWidth="1"/>
    <col min="11522" max="11522" width="20.5703125" customWidth="1"/>
    <col min="11523" max="11523" width="12.7109375" customWidth="1"/>
    <col min="11524" max="11524" width="13.140625" customWidth="1"/>
    <col min="11525" max="11525" width="13.42578125" customWidth="1"/>
    <col min="11526" max="11526" width="26.5703125" customWidth="1"/>
    <col min="11527" max="11527" width="15.140625" customWidth="1"/>
    <col min="11528" max="11528" width="17.42578125" customWidth="1"/>
    <col min="11529" max="11529" width="18.5703125" customWidth="1"/>
    <col min="11530" max="11530" width="16.85546875" customWidth="1"/>
    <col min="11531" max="11531" width="26.85546875" customWidth="1"/>
    <col min="11532" max="11532" width="29.42578125" bestFit="1" customWidth="1"/>
    <col min="11533" max="11533" width="19.140625" customWidth="1"/>
    <col min="11777" max="11777" width="12" customWidth="1"/>
    <col min="11778" max="11778" width="20.5703125" customWidth="1"/>
    <col min="11779" max="11779" width="12.7109375" customWidth="1"/>
    <col min="11780" max="11780" width="13.140625" customWidth="1"/>
    <col min="11781" max="11781" width="13.42578125" customWidth="1"/>
    <col min="11782" max="11782" width="26.5703125" customWidth="1"/>
    <col min="11783" max="11783" width="15.140625" customWidth="1"/>
    <col min="11784" max="11784" width="17.42578125" customWidth="1"/>
    <col min="11785" max="11785" width="18.5703125" customWidth="1"/>
    <col min="11786" max="11786" width="16.85546875" customWidth="1"/>
    <col min="11787" max="11787" width="26.85546875" customWidth="1"/>
    <col min="11788" max="11788" width="29.42578125" bestFit="1" customWidth="1"/>
    <col min="11789" max="11789" width="19.140625" customWidth="1"/>
    <col min="12033" max="12033" width="12" customWidth="1"/>
    <col min="12034" max="12034" width="20.5703125" customWidth="1"/>
    <col min="12035" max="12035" width="12.7109375" customWidth="1"/>
    <col min="12036" max="12036" width="13.140625" customWidth="1"/>
    <col min="12037" max="12037" width="13.42578125" customWidth="1"/>
    <col min="12038" max="12038" width="26.5703125" customWidth="1"/>
    <col min="12039" max="12039" width="15.140625" customWidth="1"/>
    <col min="12040" max="12040" width="17.42578125" customWidth="1"/>
    <col min="12041" max="12041" width="18.5703125" customWidth="1"/>
    <col min="12042" max="12042" width="16.85546875" customWidth="1"/>
    <col min="12043" max="12043" width="26.85546875" customWidth="1"/>
    <col min="12044" max="12044" width="29.42578125" bestFit="1" customWidth="1"/>
    <col min="12045" max="12045" width="19.140625" customWidth="1"/>
    <col min="12289" max="12289" width="12" customWidth="1"/>
    <col min="12290" max="12290" width="20.5703125" customWidth="1"/>
    <col min="12291" max="12291" width="12.7109375" customWidth="1"/>
    <col min="12292" max="12292" width="13.140625" customWidth="1"/>
    <col min="12293" max="12293" width="13.42578125" customWidth="1"/>
    <col min="12294" max="12294" width="26.5703125" customWidth="1"/>
    <col min="12295" max="12295" width="15.140625" customWidth="1"/>
    <col min="12296" max="12296" width="17.42578125" customWidth="1"/>
    <col min="12297" max="12297" width="18.5703125" customWidth="1"/>
    <col min="12298" max="12298" width="16.85546875" customWidth="1"/>
    <col min="12299" max="12299" width="26.85546875" customWidth="1"/>
    <col min="12300" max="12300" width="29.42578125" bestFit="1" customWidth="1"/>
    <col min="12301" max="12301" width="19.140625" customWidth="1"/>
    <col min="12545" max="12545" width="12" customWidth="1"/>
    <col min="12546" max="12546" width="20.5703125" customWidth="1"/>
    <col min="12547" max="12547" width="12.7109375" customWidth="1"/>
    <col min="12548" max="12548" width="13.140625" customWidth="1"/>
    <col min="12549" max="12549" width="13.42578125" customWidth="1"/>
    <col min="12550" max="12550" width="26.5703125" customWidth="1"/>
    <col min="12551" max="12551" width="15.140625" customWidth="1"/>
    <col min="12552" max="12552" width="17.42578125" customWidth="1"/>
    <col min="12553" max="12553" width="18.5703125" customWidth="1"/>
    <col min="12554" max="12554" width="16.85546875" customWidth="1"/>
    <col min="12555" max="12555" width="26.85546875" customWidth="1"/>
    <col min="12556" max="12556" width="29.42578125" bestFit="1" customWidth="1"/>
    <col min="12557" max="12557" width="19.140625" customWidth="1"/>
    <col min="12801" max="12801" width="12" customWidth="1"/>
    <col min="12802" max="12802" width="20.5703125" customWidth="1"/>
    <col min="12803" max="12803" width="12.7109375" customWidth="1"/>
    <col min="12804" max="12804" width="13.140625" customWidth="1"/>
    <col min="12805" max="12805" width="13.42578125" customWidth="1"/>
    <col min="12806" max="12806" width="26.5703125" customWidth="1"/>
    <col min="12807" max="12807" width="15.140625" customWidth="1"/>
    <col min="12808" max="12808" width="17.42578125" customWidth="1"/>
    <col min="12809" max="12809" width="18.5703125" customWidth="1"/>
    <col min="12810" max="12810" width="16.85546875" customWidth="1"/>
    <col min="12811" max="12811" width="26.85546875" customWidth="1"/>
    <col min="12812" max="12812" width="29.42578125" bestFit="1" customWidth="1"/>
    <col min="12813" max="12813" width="19.140625" customWidth="1"/>
    <col min="13057" max="13057" width="12" customWidth="1"/>
    <col min="13058" max="13058" width="20.5703125" customWidth="1"/>
    <col min="13059" max="13059" width="12.7109375" customWidth="1"/>
    <col min="13060" max="13060" width="13.140625" customWidth="1"/>
    <col min="13061" max="13061" width="13.42578125" customWidth="1"/>
    <col min="13062" max="13062" width="26.5703125" customWidth="1"/>
    <col min="13063" max="13063" width="15.140625" customWidth="1"/>
    <col min="13064" max="13064" width="17.42578125" customWidth="1"/>
    <col min="13065" max="13065" width="18.5703125" customWidth="1"/>
    <col min="13066" max="13066" width="16.85546875" customWidth="1"/>
    <col min="13067" max="13067" width="26.85546875" customWidth="1"/>
    <col min="13068" max="13068" width="29.42578125" bestFit="1" customWidth="1"/>
    <col min="13069" max="13069" width="19.140625" customWidth="1"/>
    <col min="13313" max="13313" width="12" customWidth="1"/>
    <col min="13314" max="13314" width="20.5703125" customWidth="1"/>
    <col min="13315" max="13315" width="12.7109375" customWidth="1"/>
    <col min="13316" max="13316" width="13.140625" customWidth="1"/>
    <col min="13317" max="13317" width="13.42578125" customWidth="1"/>
    <col min="13318" max="13318" width="26.5703125" customWidth="1"/>
    <col min="13319" max="13319" width="15.140625" customWidth="1"/>
    <col min="13320" max="13320" width="17.42578125" customWidth="1"/>
    <col min="13321" max="13321" width="18.5703125" customWidth="1"/>
    <col min="13322" max="13322" width="16.85546875" customWidth="1"/>
    <col min="13323" max="13323" width="26.85546875" customWidth="1"/>
    <col min="13324" max="13324" width="29.42578125" bestFit="1" customWidth="1"/>
    <col min="13325" max="13325" width="19.140625" customWidth="1"/>
    <col min="13569" max="13569" width="12" customWidth="1"/>
    <col min="13570" max="13570" width="20.5703125" customWidth="1"/>
    <col min="13571" max="13571" width="12.7109375" customWidth="1"/>
    <col min="13572" max="13572" width="13.140625" customWidth="1"/>
    <col min="13573" max="13573" width="13.42578125" customWidth="1"/>
    <col min="13574" max="13574" width="26.5703125" customWidth="1"/>
    <col min="13575" max="13575" width="15.140625" customWidth="1"/>
    <col min="13576" max="13576" width="17.42578125" customWidth="1"/>
    <col min="13577" max="13577" width="18.5703125" customWidth="1"/>
    <col min="13578" max="13578" width="16.85546875" customWidth="1"/>
    <col min="13579" max="13579" width="26.85546875" customWidth="1"/>
    <col min="13580" max="13580" width="29.42578125" bestFit="1" customWidth="1"/>
    <col min="13581" max="13581" width="19.140625" customWidth="1"/>
    <col min="13825" max="13825" width="12" customWidth="1"/>
    <col min="13826" max="13826" width="20.5703125" customWidth="1"/>
    <col min="13827" max="13827" width="12.7109375" customWidth="1"/>
    <col min="13828" max="13828" width="13.140625" customWidth="1"/>
    <col min="13829" max="13829" width="13.42578125" customWidth="1"/>
    <col min="13830" max="13830" width="26.5703125" customWidth="1"/>
    <col min="13831" max="13831" width="15.140625" customWidth="1"/>
    <col min="13832" max="13832" width="17.42578125" customWidth="1"/>
    <col min="13833" max="13833" width="18.5703125" customWidth="1"/>
    <col min="13834" max="13834" width="16.85546875" customWidth="1"/>
    <col min="13835" max="13835" width="26.85546875" customWidth="1"/>
    <col min="13836" max="13836" width="29.42578125" bestFit="1" customWidth="1"/>
    <col min="13837" max="13837" width="19.140625" customWidth="1"/>
    <col min="14081" max="14081" width="12" customWidth="1"/>
    <col min="14082" max="14082" width="20.5703125" customWidth="1"/>
    <col min="14083" max="14083" width="12.7109375" customWidth="1"/>
    <col min="14084" max="14084" width="13.140625" customWidth="1"/>
    <col min="14085" max="14085" width="13.42578125" customWidth="1"/>
    <col min="14086" max="14086" width="26.5703125" customWidth="1"/>
    <col min="14087" max="14087" width="15.140625" customWidth="1"/>
    <col min="14088" max="14088" width="17.42578125" customWidth="1"/>
    <col min="14089" max="14089" width="18.5703125" customWidth="1"/>
    <col min="14090" max="14090" width="16.85546875" customWidth="1"/>
    <col min="14091" max="14091" width="26.85546875" customWidth="1"/>
    <col min="14092" max="14092" width="29.42578125" bestFit="1" customWidth="1"/>
    <col min="14093" max="14093" width="19.140625" customWidth="1"/>
    <col min="14337" max="14337" width="12" customWidth="1"/>
    <col min="14338" max="14338" width="20.5703125" customWidth="1"/>
    <col min="14339" max="14339" width="12.7109375" customWidth="1"/>
    <col min="14340" max="14340" width="13.140625" customWidth="1"/>
    <col min="14341" max="14341" width="13.42578125" customWidth="1"/>
    <col min="14342" max="14342" width="26.5703125" customWidth="1"/>
    <col min="14343" max="14343" width="15.140625" customWidth="1"/>
    <col min="14344" max="14344" width="17.42578125" customWidth="1"/>
    <col min="14345" max="14345" width="18.5703125" customWidth="1"/>
    <col min="14346" max="14346" width="16.85546875" customWidth="1"/>
    <col min="14347" max="14347" width="26.85546875" customWidth="1"/>
    <col min="14348" max="14348" width="29.42578125" bestFit="1" customWidth="1"/>
    <col min="14349" max="14349" width="19.140625" customWidth="1"/>
    <col min="14593" max="14593" width="12" customWidth="1"/>
    <col min="14594" max="14594" width="20.5703125" customWidth="1"/>
    <col min="14595" max="14595" width="12.7109375" customWidth="1"/>
    <col min="14596" max="14596" width="13.140625" customWidth="1"/>
    <col min="14597" max="14597" width="13.42578125" customWidth="1"/>
    <col min="14598" max="14598" width="26.5703125" customWidth="1"/>
    <col min="14599" max="14599" width="15.140625" customWidth="1"/>
    <col min="14600" max="14600" width="17.42578125" customWidth="1"/>
    <col min="14601" max="14601" width="18.5703125" customWidth="1"/>
    <col min="14602" max="14602" width="16.85546875" customWidth="1"/>
    <col min="14603" max="14603" width="26.85546875" customWidth="1"/>
    <col min="14604" max="14604" width="29.42578125" bestFit="1" customWidth="1"/>
    <col min="14605" max="14605" width="19.140625" customWidth="1"/>
    <col min="14849" max="14849" width="12" customWidth="1"/>
    <col min="14850" max="14850" width="20.5703125" customWidth="1"/>
    <col min="14851" max="14851" width="12.7109375" customWidth="1"/>
    <col min="14852" max="14852" width="13.140625" customWidth="1"/>
    <col min="14853" max="14853" width="13.42578125" customWidth="1"/>
    <col min="14854" max="14854" width="26.5703125" customWidth="1"/>
    <col min="14855" max="14855" width="15.140625" customWidth="1"/>
    <col min="14856" max="14856" width="17.42578125" customWidth="1"/>
    <col min="14857" max="14857" width="18.5703125" customWidth="1"/>
    <col min="14858" max="14858" width="16.85546875" customWidth="1"/>
    <col min="14859" max="14859" width="26.85546875" customWidth="1"/>
    <col min="14860" max="14860" width="29.42578125" bestFit="1" customWidth="1"/>
    <col min="14861" max="14861" width="19.140625" customWidth="1"/>
    <col min="15105" max="15105" width="12" customWidth="1"/>
    <col min="15106" max="15106" width="20.5703125" customWidth="1"/>
    <col min="15107" max="15107" width="12.7109375" customWidth="1"/>
    <col min="15108" max="15108" width="13.140625" customWidth="1"/>
    <col min="15109" max="15109" width="13.42578125" customWidth="1"/>
    <col min="15110" max="15110" width="26.5703125" customWidth="1"/>
    <col min="15111" max="15111" width="15.140625" customWidth="1"/>
    <col min="15112" max="15112" width="17.42578125" customWidth="1"/>
    <col min="15113" max="15113" width="18.5703125" customWidth="1"/>
    <col min="15114" max="15114" width="16.85546875" customWidth="1"/>
    <col min="15115" max="15115" width="26.85546875" customWidth="1"/>
    <col min="15116" max="15116" width="29.42578125" bestFit="1" customWidth="1"/>
    <col min="15117" max="15117" width="19.140625" customWidth="1"/>
    <col min="15361" max="15361" width="12" customWidth="1"/>
    <col min="15362" max="15362" width="20.5703125" customWidth="1"/>
    <col min="15363" max="15363" width="12.7109375" customWidth="1"/>
    <col min="15364" max="15364" width="13.140625" customWidth="1"/>
    <col min="15365" max="15365" width="13.42578125" customWidth="1"/>
    <col min="15366" max="15366" width="26.5703125" customWidth="1"/>
    <col min="15367" max="15367" width="15.140625" customWidth="1"/>
    <col min="15368" max="15368" width="17.42578125" customWidth="1"/>
    <col min="15369" max="15369" width="18.5703125" customWidth="1"/>
    <col min="15370" max="15370" width="16.85546875" customWidth="1"/>
    <col min="15371" max="15371" width="26.85546875" customWidth="1"/>
    <col min="15372" max="15372" width="29.42578125" bestFit="1" customWidth="1"/>
    <col min="15373" max="15373" width="19.140625" customWidth="1"/>
    <col min="15617" max="15617" width="12" customWidth="1"/>
    <col min="15618" max="15618" width="20.5703125" customWidth="1"/>
    <col min="15619" max="15619" width="12.7109375" customWidth="1"/>
    <col min="15620" max="15620" width="13.140625" customWidth="1"/>
    <col min="15621" max="15621" width="13.42578125" customWidth="1"/>
    <col min="15622" max="15622" width="26.5703125" customWidth="1"/>
    <col min="15623" max="15623" width="15.140625" customWidth="1"/>
    <col min="15624" max="15624" width="17.42578125" customWidth="1"/>
    <col min="15625" max="15625" width="18.5703125" customWidth="1"/>
    <col min="15626" max="15626" width="16.85546875" customWidth="1"/>
    <col min="15627" max="15627" width="26.85546875" customWidth="1"/>
    <col min="15628" max="15628" width="29.42578125" bestFit="1" customWidth="1"/>
    <col min="15629" max="15629" width="19.140625" customWidth="1"/>
    <col min="15873" max="15873" width="12" customWidth="1"/>
    <col min="15874" max="15874" width="20.5703125" customWidth="1"/>
    <col min="15875" max="15875" width="12.7109375" customWidth="1"/>
    <col min="15876" max="15876" width="13.140625" customWidth="1"/>
    <col min="15877" max="15877" width="13.42578125" customWidth="1"/>
    <col min="15878" max="15878" width="26.5703125" customWidth="1"/>
    <col min="15879" max="15879" width="15.140625" customWidth="1"/>
    <col min="15880" max="15880" width="17.42578125" customWidth="1"/>
    <col min="15881" max="15881" width="18.5703125" customWidth="1"/>
    <col min="15882" max="15882" width="16.85546875" customWidth="1"/>
    <col min="15883" max="15883" width="26.85546875" customWidth="1"/>
    <col min="15884" max="15884" width="29.42578125" bestFit="1" customWidth="1"/>
    <col min="15885" max="15885" width="19.140625" customWidth="1"/>
    <col min="16129" max="16129" width="12" customWidth="1"/>
    <col min="16130" max="16130" width="20.5703125" customWidth="1"/>
    <col min="16131" max="16131" width="12.7109375" customWidth="1"/>
    <col min="16132" max="16132" width="13.140625" customWidth="1"/>
    <col min="16133" max="16133" width="13.42578125" customWidth="1"/>
    <col min="16134" max="16134" width="26.5703125" customWidth="1"/>
    <col min="16135" max="16135" width="15.140625" customWidth="1"/>
    <col min="16136" max="16136" width="17.42578125" customWidth="1"/>
    <col min="16137" max="16137" width="18.5703125" customWidth="1"/>
    <col min="16138" max="16138" width="16.85546875" customWidth="1"/>
    <col min="16139" max="16139" width="26.85546875" customWidth="1"/>
    <col min="16140" max="16140" width="29.42578125" bestFit="1" customWidth="1"/>
    <col min="16141" max="16141" width="19.140625" customWidth="1"/>
  </cols>
  <sheetData>
    <row r="1" spans="1:13" ht="21" customHeight="1" thickBot="1">
      <c r="B1" s="855" t="s">
        <v>159</v>
      </c>
      <c r="C1" s="855"/>
      <c r="D1" s="855"/>
      <c r="E1" s="855"/>
      <c r="F1" s="855"/>
    </row>
    <row r="2" spans="1:13" s="865" customFormat="1" ht="15" customHeight="1" thickBot="1">
      <c r="A2" s="857" t="s">
        <v>160</v>
      </c>
      <c r="B2" s="857" t="s">
        <v>161</v>
      </c>
      <c r="C2" s="857" t="s">
        <v>162</v>
      </c>
      <c r="D2" s="857" t="s">
        <v>163</v>
      </c>
      <c r="E2" s="857" t="s">
        <v>164</v>
      </c>
      <c r="F2" s="857" t="s">
        <v>165</v>
      </c>
      <c r="G2" s="858" t="s">
        <v>166</v>
      </c>
      <c r="H2" s="859" t="s">
        <v>167</v>
      </c>
      <c r="I2" s="860" t="s">
        <v>168</v>
      </c>
      <c r="J2" s="861" t="s">
        <v>169</v>
      </c>
      <c r="K2" s="862" t="s">
        <v>170</v>
      </c>
      <c r="L2" s="863" t="s">
        <v>171</v>
      </c>
      <c r="M2" s="864" t="s">
        <v>172</v>
      </c>
    </row>
    <row r="3" spans="1:13" ht="15" customHeight="1">
      <c r="A3" s="780">
        <v>1</v>
      </c>
      <c r="B3" s="781">
        <v>240575</v>
      </c>
      <c r="C3" s="782" t="s">
        <v>174</v>
      </c>
      <c r="D3" s="782" t="s">
        <v>384</v>
      </c>
      <c r="E3" s="783" t="s">
        <v>440</v>
      </c>
      <c r="F3" s="783" t="s">
        <v>441</v>
      </c>
      <c r="G3" s="784">
        <v>239819</v>
      </c>
      <c r="H3" s="785">
        <v>239882</v>
      </c>
      <c r="I3" s="786" t="s">
        <v>173</v>
      </c>
      <c r="J3" s="787">
        <f>H3-G3</f>
        <v>63</v>
      </c>
      <c r="K3" s="866"/>
      <c r="L3" s="867"/>
      <c r="M3" s="868"/>
    </row>
    <row r="4" spans="1:13" ht="15" customHeight="1">
      <c r="A4" s="780">
        <f t="shared" ref="A4:A15" si="0">A3+1</f>
        <v>2</v>
      </c>
      <c r="B4" s="781" t="s">
        <v>442</v>
      </c>
      <c r="C4" s="782" t="s">
        <v>174</v>
      </c>
      <c r="D4" s="782" t="s">
        <v>443</v>
      </c>
      <c r="E4" s="783" t="s">
        <v>444</v>
      </c>
      <c r="F4" s="783" t="s">
        <v>445</v>
      </c>
      <c r="G4" s="785">
        <v>239828</v>
      </c>
      <c r="H4" s="785">
        <v>239947</v>
      </c>
      <c r="I4" s="786" t="s">
        <v>173</v>
      </c>
      <c r="J4" s="787">
        <f t="shared" ref="J4:J15" si="1">H4-G4</f>
        <v>119</v>
      </c>
      <c r="K4" s="866"/>
      <c r="L4" s="867"/>
      <c r="M4" s="868"/>
    </row>
    <row r="5" spans="1:13" ht="15" customHeight="1">
      <c r="A5" s="780">
        <f t="shared" si="0"/>
        <v>3</v>
      </c>
      <c r="B5" s="781">
        <v>240582</v>
      </c>
      <c r="C5" s="782" t="s">
        <v>174</v>
      </c>
      <c r="D5" s="782" t="s">
        <v>384</v>
      </c>
      <c r="E5" s="783" t="s">
        <v>446</v>
      </c>
      <c r="F5" s="783" t="s">
        <v>447</v>
      </c>
      <c r="G5" s="785">
        <v>239947</v>
      </c>
      <c r="H5" s="785">
        <v>239979</v>
      </c>
      <c r="I5" s="786" t="s">
        <v>173</v>
      </c>
      <c r="J5" s="787">
        <f t="shared" si="1"/>
        <v>32</v>
      </c>
      <c r="K5" s="866"/>
      <c r="L5" s="867"/>
      <c r="M5" s="868"/>
    </row>
    <row r="6" spans="1:13" ht="15" customHeight="1">
      <c r="A6" s="780">
        <f t="shared" si="0"/>
        <v>4</v>
      </c>
      <c r="B6" s="781">
        <v>240588</v>
      </c>
      <c r="C6" s="782" t="s">
        <v>5</v>
      </c>
      <c r="D6" s="782" t="s">
        <v>376</v>
      </c>
      <c r="E6" s="783" t="s">
        <v>448</v>
      </c>
      <c r="F6" s="783" t="s">
        <v>449</v>
      </c>
      <c r="G6" s="785">
        <v>239980</v>
      </c>
      <c r="H6" s="785">
        <v>240184</v>
      </c>
      <c r="I6" s="786" t="s">
        <v>173</v>
      </c>
      <c r="J6" s="787">
        <f t="shared" si="1"/>
        <v>204</v>
      </c>
      <c r="K6" s="866"/>
      <c r="L6" s="867"/>
      <c r="M6" s="868"/>
    </row>
    <row r="7" spans="1:13" ht="15" customHeight="1">
      <c r="A7" s="780">
        <f t="shared" si="0"/>
        <v>5</v>
      </c>
      <c r="B7" s="781">
        <v>21443</v>
      </c>
      <c r="C7" s="782" t="s">
        <v>5</v>
      </c>
      <c r="D7" s="782" t="s">
        <v>376</v>
      </c>
      <c r="E7" s="788" t="s">
        <v>428</v>
      </c>
      <c r="F7" s="783" t="s">
        <v>450</v>
      </c>
      <c r="G7" s="789">
        <v>240184</v>
      </c>
      <c r="H7" s="960">
        <v>240264</v>
      </c>
      <c r="I7" s="786" t="s">
        <v>173</v>
      </c>
      <c r="J7" s="787">
        <f t="shared" si="1"/>
        <v>80</v>
      </c>
      <c r="K7" s="869"/>
      <c r="L7" s="867"/>
      <c r="M7" s="868"/>
    </row>
    <row r="8" spans="1:13" ht="15" customHeight="1">
      <c r="A8" s="780">
        <f t="shared" si="0"/>
        <v>6</v>
      </c>
      <c r="B8" s="781">
        <v>21446</v>
      </c>
      <c r="C8" s="782" t="s">
        <v>174</v>
      </c>
      <c r="D8" s="782" t="s">
        <v>451</v>
      </c>
      <c r="E8" s="788" t="s">
        <v>452</v>
      </c>
      <c r="F8" s="783" t="s">
        <v>453</v>
      </c>
      <c r="G8" s="791">
        <v>240264</v>
      </c>
      <c r="H8" s="784">
        <v>240584</v>
      </c>
      <c r="I8" s="786" t="s">
        <v>173</v>
      </c>
      <c r="J8" s="787">
        <f t="shared" si="1"/>
        <v>320</v>
      </c>
      <c r="K8" s="869"/>
      <c r="L8" s="867"/>
      <c r="M8" s="868"/>
    </row>
    <row r="9" spans="1:13" ht="15" customHeight="1">
      <c r="A9" s="780">
        <f t="shared" si="0"/>
        <v>7</v>
      </c>
      <c r="B9" s="781">
        <v>21447</v>
      </c>
      <c r="C9" s="782" t="s">
        <v>5</v>
      </c>
      <c r="D9" s="782" t="s">
        <v>173</v>
      </c>
      <c r="E9" s="783" t="s">
        <v>454</v>
      </c>
      <c r="F9" s="790" t="s">
        <v>455</v>
      </c>
      <c r="G9" s="791">
        <v>240584</v>
      </c>
      <c r="H9" s="784">
        <v>240738</v>
      </c>
      <c r="I9" s="786" t="s">
        <v>173</v>
      </c>
      <c r="J9" s="792">
        <f t="shared" si="1"/>
        <v>154</v>
      </c>
      <c r="K9" s="869"/>
      <c r="L9" s="867"/>
      <c r="M9" s="868"/>
    </row>
    <row r="10" spans="1:13" ht="15" customHeight="1">
      <c r="A10" s="780">
        <f t="shared" si="0"/>
        <v>8</v>
      </c>
      <c r="B10" s="870">
        <v>21449</v>
      </c>
      <c r="C10" s="782" t="s">
        <v>456</v>
      </c>
      <c r="D10" s="782" t="s">
        <v>376</v>
      </c>
      <c r="E10" s="783" t="s">
        <v>427</v>
      </c>
      <c r="F10" s="783" t="s">
        <v>457</v>
      </c>
      <c r="G10" s="791">
        <v>240738</v>
      </c>
      <c r="H10" s="784">
        <v>240929</v>
      </c>
      <c r="I10" s="786" t="s">
        <v>173</v>
      </c>
      <c r="J10" s="792">
        <f t="shared" si="1"/>
        <v>191</v>
      </c>
      <c r="K10" s="869"/>
      <c r="L10" s="867"/>
      <c r="M10" s="868"/>
    </row>
    <row r="11" spans="1:13" ht="15" customHeight="1">
      <c r="A11" s="780">
        <f t="shared" si="0"/>
        <v>9</v>
      </c>
      <c r="B11" s="870">
        <v>21450</v>
      </c>
      <c r="C11" s="782" t="s">
        <v>5</v>
      </c>
      <c r="D11" s="782" t="s">
        <v>458</v>
      </c>
      <c r="E11" s="783" t="s">
        <v>459</v>
      </c>
      <c r="F11" s="783" t="s">
        <v>460</v>
      </c>
      <c r="G11" s="871">
        <v>240929</v>
      </c>
      <c r="H11" s="784">
        <v>240950</v>
      </c>
      <c r="I11" s="786" t="s">
        <v>173</v>
      </c>
      <c r="J11" s="792">
        <f t="shared" si="1"/>
        <v>21</v>
      </c>
      <c r="K11" s="869"/>
      <c r="L11" s="867"/>
      <c r="M11" s="868"/>
    </row>
    <row r="12" spans="1:13" ht="15" customHeight="1">
      <c r="A12" s="780">
        <f t="shared" si="0"/>
        <v>10</v>
      </c>
      <c r="B12" s="781">
        <v>240597</v>
      </c>
      <c r="C12" s="782" t="s">
        <v>174</v>
      </c>
      <c r="D12" s="782" t="s">
        <v>461</v>
      </c>
      <c r="E12" s="785" t="s">
        <v>462</v>
      </c>
      <c r="F12" s="783" t="s">
        <v>463</v>
      </c>
      <c r="G12" s="784">
        <v>240950</v>
      </c>
      <c r="H12" s="784">
        <v>241057</v>
      </c>
      <c r="I12" s="786" t="s">
        <v>173</v>
      </c>
      <c r="J12" s="792">
        <f t="shared" si="1"/>
        <v>107</v>
      </c>
      <c r="K12" s="869"/>
      <c r="L12" s="867"/>
      <c r="M12" s="868"/>
    </row>
    <row r="13" spans="1:13" ht="15" customHeight="1">
      <c r="A13" s="780">
        <f t="shared" si="0"/>
        <v>11</v>
      </c>
      <c r="B13" s="781">
        <v>21456</v>
      </c>
      <c r="C13" s="782" t="s">
        <v>174</v>
      </c>
      <c r="D13" s="782" t="s">
        <v>451</v>
      </c>
      <c r="E13" s="783" t="s">
        <v>429</v>
      </c>
      <c r="F13" s="790" t="s">
        <v>464</v>
      </c>
      <c r="G13" s="784">
        <v>241057</v>
      </c>
      <c r="H13" s="784">
        <v>241343</v>
      </c>
      <c r="I13" s="786" t="s">
        <v>173</v>
      </c>
      <c r="J13" s="792">
        <f t="shared" si="1"/>
        <v>286</v>
      </c>
      <c r="K13" s="869"/>
      <c r="L13" s="867"/>
      <c r="M13" s="868"/>
    </row>
    <row r="14" spans="1:13" ht="15" customHeight="1">
      <c r="A14" s="780">
        <f t="shared" si="0"/>
        <v>12</v>
      </c>
      <c r="B14" s="781">
        <v>21457</v>
      </c>
      <c r="C14" s="782" t="s">
        <v>456</v>
      </c>
      <c r="D14" s="782" t="s">
        <v>376</v>
      </c>
      <c r="E14" s="785" t="s">
        <v>465</v>
      </c>
      <c r="F14" s="789" t="s">
        <v>466</v>
      </c>
      <c r="G14" s="784">
        <v>241343</v>
      </c>
      <c r="H14" s="784">
        <v>241698</v>
      </c>
      <c r="I14" s="786" t="s">
        <v>173</v>
      </c>
      <c r="J14" s="792">
        <f t="shared" si="1"/>
        <v>355</v>
      </c>
      <c r="K14" s="869"/>
      <c r="L14" s="867"/>
      <c r="M14" s="868"/>
    </row>
    <row r="15" spans="1:13" ht="15" customHeight="1">
      <c r="A15" s="780">
        <f t="shared" si="0"/>
        <v>13</v>
      </c>
      <c r="B15" s="781">
        <v>21458</v>
      </c>
      <c r="C15" s="782" t="s">
        <v>174</v>
      </c>
      <c r="D15" s="782" t="s">
        <v>384</v>
      </c>
      <c r="E15" s="785" t="s">
        <v>467</v>
      </c>
      <c r="F15" s="789" t="s">
        <v>468</v>
      </c>
      <c r="G15" s="784">
        <v>241698</v>
      </c>
      <c r="H15" s="784">
        <v>241742</v>
      </c>
      <c r="I15" s="786" t="s">
        <v>173</v>
      </c>
      <c r="J15" s="792">
        <f t="shared" si="1"/>
        <v>44</v>
      </c>
      <c r="K15" s="869"/>
      <c r="L15" s="867"/>
      <c r="M15" s="868"/>
    </row>
    <row r="16" spans="1:13" ht="15" customHeight="1">
      <c r="A16" s="780"/>
      <c r="B16" s="781"/>
      <c r="C16" s="782"/>
      <c r="D16" s="782"/>
      <c r="E16" s="785"/>
      <c r="F16" s="789"/>
      <c r="G16" s="784"/>
      <c r="H16" s="784"/>
      <c r="I16" s="786"/>
      <c r="J16" s="792"/>
      <c r="K16" s="869"/>
      <c r="L16" s="867"/>
      <c r="M16" s="868"/>
    </row>
    <row r="17" spans="1:20" ht="15" customHeight="1">
      <c r="A17" s="780"/>
      <c r="B17" s="873"/>
      <c r="C17" s="874"/>
      <c r="D17" s="874"/>
      <c r="E17" s="875"/>
      <c r="F17" s="875"/>
      <c r="G17" s="876"/>
      <c r="H17" s="876"/>
      <c r="I17" s="789"/>
      <c r="J17" s="877"/>
      <c r="K17" s="869"/>
      <c r="L17" s="867"/>
      <c r="M17" s="868"/>
    </row>
    <row r="18" spans="1:20" ht="15" customHeight="1">
      <c r="A18" s="542"/>
      <c r="B18" s="873"/>
      <c r="C18" s="874"/>
      <c r="D18" s="874"/>
      <c r="E18" s="875"/>
      <c r="F18" s="875"/>
      <c r="G18" s="785"/>
      <c r="H18" s="785"/>
      <c r="I18" s="878" t="s">
        <v>7</v>
      </c>
      <c r="J18" s="879">
        <f>SUBTOTAL(9,J3:J17)</f>
        <v>1976</v>
      </c>
      <c r="K18" s="866"/>
      <c r="L18" s="867"/>
      <c r="M18" s="868"/>
    </row>
    <row r="19" spans="1:20" ht="15" customHeight="1">
      <c r="A19" s="542"/>
      <c r="B19" s="880"/>
      <c r="C19" s="874"/>
      <c r="D19" s="874"/>
      <c r="E19" s="875"/>
      <c r="F19" s="875"/>
      <c r="G19" s="785"/>
      <c r="H19" s="785"/>
      <c r="I19" s="789"/>
      <c r="J19" s="787"/>
      <c r="K19" s="866"/>
      <c r="L19" s="867"/>
      <c r="M19" s="868"/>
      <c r="O19" t="s">
        <v>176</v>
      </c>
    </row>
    <row r="20" spans="1:20" ht="15" customHeight="1">
      <c r="A20" s="881"/>
      <c r="B20" s="882" t="s">
        <v>175</v>
      </c>
      <c r="C20" s="874"/>
      <c r="D20" s="874"/>
      <c r="E20" s="875"/>
      <c r="F20" s="875"/>
      <c r="G20" s="785"/>
      <c r="H20" s="785"/>
      <c r="I20" s="789"/>
      <c r="J20" s="787"/>
      <c r="K20" s="866"/>
      <c r="L20" s="867"/>
      <c r="M20" s="868"/>
      <c r="T20" s="866" t="s">
        <v>176</v>
      </c>
    </row>
    <row r="21" spans="1:20" ht="15" customHeight="1" thickBot="1">
      <c r="A21" s="883"/>
      <c r="B21" s="884"/>
      <c r="C21" s="802"/>
      <c r="D21" s="802"/>
      <c r="E21" s="875"/>
      <c r="F21" s="875"/>
      <c r="G21" s="785"/>
      <c r="H21" s="785"/>
      <c r="I21" s="789"/>
      <c r="J21" s="787"/>
      <c r="K21" s="866"/>
      <c r="L21" s="867"/>
      <c r="M21" s="868"/>
    </row>
    <row r="22" spans="1:20" ht="20.25" customHeight="1" thickTop="1">
      <c r="A22" s="885" t="s">
        <v>177</v>
      </c>
      <c r="B22" s="885" t="s">
        <v>178</v>
      </c>
      <c r="C22" s="886" t="s">
        <v>179</v>
      </c>
      <c r="D22" s="885" t="s">
        <v>180</v>
      </c>
      <c r="E22" s="887"/>
      <c r="F22" s="875"/>
      <c r="G22" s="785"/>
      <c r="H22" s="785"/>
      <c r="I22" s="789"/>
      <c r="J22" s="787"/>
      <c r="K22" s="866"/>
      <c r="L22" s="867"/>
      <c r="M22" s="868"/>
    </row>
    <row r="23" spans="1:20" ht="15" customHeight="1">
      <c r="A23" s="888"/>
      <c r="B23" s="782"/>
      <c r="C23" s="889"/>
      <c r="D23" s="890"/>
      <c r="E23" s="881"/>
      <c r="F23" s="891"/>
      <c r="G23" s="785"/>
      <c r="H23" s="785"/>
      <c r="I23" s="789"/>
      <c r="J23" s="787"/>
      <c r="K23" s="866"/>
      <c r="L23" s="867"/>
      <c r="M23" s="868"/>
    </row>
    <row r="24" spans="1:20" ht="15" customHeight="1">
      <c r="A24" s="888"/>
      <c r="B24" s="782"/>
      <c r="C24" s="889"/>
      <c r="D24" s="890"/>
      <c r="E24" s="874"/>
      <c r="F24" s="875"/>
      <c r="G24" s="785"/>
      <c r="H24" s="785"/>
      <c r="I24" s="789"/>
      <c r="J24" s="787"/>
      <c r="K24" s="866"/>
      <c r="L24" s="867"/>
      <c r="M24" s="868"/>
    </row>
    <row r="25" spans="1:20" ht="15" customHeight="1">
      <c r="A25" s="781"/>
      <c r="B25" s="782"/>
      <c r="C25" s="889"/>
      <c r="D25" s="881"/>
      <c r="E25" s="891"/>
      <c r="F25" s="875"/>
      <c r="G25" s="785"/>
      <c r="H25" s="785"/>
      <c r="I25" s="789"/>
      <c r="J25" s="787"/>
      <c r="K25" s="866"/>
      <c r="L25" s="867"/>
      <c r="M25" s="868"/>
    </row>
    <row r="26" spans="1:20" ht="15" customHeight="1">
      <c r="A26" s="781"/>
      <c r="B26" s="782"/>
      <c r="C26" s="889"/>
      <c r="D26" s="881"/>
      <c r="E26" s="891"/>
      <c r="F26" s="875"/>
      <c r="G26" s="785"/>
      <c r="H26" s="785"/>
      <c r="I26" s="789"/>
      <c r="J26" s="787"/>
      <c r="K26" s="866"/>
      <c r="L26" s="867"/>
      <c r="M26" s="868"/>
    </row>
    <row r="27" spans="1:20" ht="15" customHeight="1">
      <c r="A27" s="781"/>
      <c r="B27" s="782"/>
      <c r="C27" s="889"/>
      <c r="D27" s="881"/>
      <c r="E27" s="891"/>
      <c r="F27" s="875"/>
      <c r="G27" s="785"/>
      <c r="H27" s="785"/>
      <c r="I27" s="789"/>
      <c r="J27" s="787"/>
      <c r="K27" s="866"/>
      <c r="L27" s="867"/>
      <c r="M27" s="868"/>
    </row>
    <row r="28" spans="1:20" ht="15" customHeight="1">
      <c r="A28" s="888"/>
      <c r="B28" s="782"/>
      <c r="C28" s="889"/>
      <c r="D28" s="881"/>
      <c r="E28" s="891"/>
      <c r="F28" s="875"/>
      <c r="G28" s="785"/>
      <c r="H28" s="785"/>
      <c r="I28" s="789"/>
      <c r="J28" s="787"/>
      <c r="K28" s="866"/>
      <c r="L28" s="867"/>
      <c r="M28" s="868"/>
    </row>
    <row r="29" spans="1:20" ht="15" customHeight="1">
      <c r="A29" s="888"/>
      <c r="B29" s="782"/>
      <c r="C29" s="892"/>
      <c r="D29" s="881"/>
      <c r="E29" s="891"/>
      <c r="F29" s="875"/>
      <c r="G29" s="785"/>
      <c r="H29" s="785"/>
      <c r="I29" s="789"/>
      <c r="J29" s="787"/>
      <c r="K29" s="866"/>
      <c r="L29" s="867"/>
      <c r="M29" s="868"/>
    </row>
    <row r="30" spans="1:20" ht="15" customHeight="1">
      <c r="A30" s="893"/>
      <c r="B30" s="894"/>
      <c r="C30" s="892"/>
      <c r="D30" s="881"/>
      <c r="E30" s="891"/>
      <c r="F30" s="875"/>
      <c r="G30" s="785"/>
      <c r="H30" s="785"/>
      <c r="I30" s="789"/>
      <c r="J30" s="787"/>
      <c r="K30" s="866"/>
      <c r="L30" s="867"/>
      <c r="M30" s="868"/>
    </row>
    <row r="31" spans="1:20" ht="15" customHeight="1">
      <c r="A31" s="895"/>
      <c r="B31" s="873"/>
      <c r="C31" s="794"/>
      <c r="D31" s="961"/>
      <c r="E31" s="875"/>
      <c r="F31" s="896"/>
      <c r="G31" s="785"/>
      <c r="H31" s="785"/>
      <c r="I31" s="789"/>
      <c r="J31" s="787"/>
      <c r="K31" s="866"/>
      <c r="L31" s="867"/>
      <c r="M31" s="868"/>
    </row>
    <row r="32" spans="1:20" ht="15" customHeight="1">
      <c r="A32" s="895"/>
      <c r="B32" s="873"/>
      <c r="C32" s="897"/>
      <c r="D32" s="243"/>
      <c r="E32" s="875"/>
      <c r="F32" s="896"/>
      <c r="G32" s="785"/>
      <c r="H32" s="785"/>
      <c r="I32" s="789"/>
      <c r="J32" s="787"/>
      <c r="K32" s="866"/>
      <c r="L32" s="867"/>
      <c r="M32" s="868"/>
    </row>
    <row r="33" spans="1:13" ht="15" customHeight="1">
      <c r="A33" s="895"/>
      <c r="B33" s="873"/>
      <c r="C33" s="897"/>
      <c r="D33" s="243"/>
      <c r="E33" s="875"/>
      <c r="F33" s="896"/>
      <c r="G33" s="785"/>
      <c r="H33" s="785"/>
      <c r="I33" s="789"/>
      <c r="J33" s="787"/>
      <c r="K33" s="866"/>
      <c r="L33" s="867"/>
      <c r="M33" s="868"/>
    </row>
    <row r="34" spans="1:13" ht="15" customHeight="1">
      <c r="A34" s="895"/>
      <c r="B34" s="882" t="s">
        <v>181</v>
      </c>
      <c r="C34" s="897"/>
      <c r="D34" s="243"/>
      <c r="E34" s="875"/>
      <c r="F34" s="896"/>
      <c r="G34" s="785"/>
      <c r="H34" s="785"/>
      <c r="I34" s="789"/>
      <c r="J34" s="787"/>
      <c r="K34" s="866"/>
      <c r="L34" s="867"/>
      <c r="M34" s="868"/>
    </row>
    <row r="35" spans="1:13" ht="16.5" customHeight="1" thickBot="1">
      <c r="A35" s="898"/>
      <c r="B35" s="873"/>
      <c r="C35" s="874"/>
      <c r="D35" s="874"/>
      <c r="E35" s="875"/>
      <c r="F35" s="875"/>
      <c r="G35" s="785"/>
      <c r="H35" s="785"/>
      <c r="I35" s="789"/>
      <c r="J35" s="787"/>
      <c r="K35" s="866"/>
      <c r="L35" s="867"/>
      <c r="M35" s="868"/>
    </row>
    <row r="36" spans="1:13" ht="20.25" customHeight="1" thickTop="1" thickBot="1">
      <c r="A36" s="899" t="s">
        <v>177</v>
      </c>
      <c r="B36" s="900" t="s">
        <v>179</v>
      </c>
      <c r="C36" s="900" t="s">
        <v>179</v>
      </c>
      <c r="D36" s="899" t="s">
        <v>180</v>
      </c>
      <c r="E36" s="891"/>
      <c r="F36" s="875"/>
      <c r="G36" s="785"/>
      <c r="H36" s="785"/>
      <c r="I36" s="789"/>
      <c r="J36" s="787"/>
      <c r="K36" s="866"/>
      <c r="L36" s="867"/>
      <c r="M36" s="868"/>
    </row>
    <row r="37" spans="1:13" ht="13.5" thickTop="1">
      <c r="A37" s="781">
        <v>21443</v>
      </c>
      <c r="B37" s="793" t="s">
        <v>182</v>
      </c>
      <c r="C37" s="782"/>
      <c r="D37" s="244">
        <v>860</v>
      </c>
      <c r="E37" s="875"/>
      <c r="F37" s="875"/>
      <c r="G37" s="785"/>
      <c r="H37" s="785"/>
      <c r="I37" s="789"/>
      <c r="J37" s="787"/>
      <c r="K37" s="866"/>
      <c r="L37" s="867"/>
      <c r="M37" s="868"/>
    </row>
    <row r="38" spans="1:13">
      <c r="A38" s="781">
        <v>21447</v>
      </c>
      <c r="B38" s="793" t="s">
        <v>182</v>
      </c>
      <c r="C38" s="782"/>
      <c r="D38" s="244">
        <v>1000</v>
      </c>
      <c r="E38" s="875"/>
      <c r="F38" s="875"/>
      <c r="G38" s="785"/>
      <c r="H38" s="785"/>
      <c r="I38" s="789"/>
      <c r="J38" s="787"/>
      <c r="K38" s="866"/>
      <c r="L38" s="867"/>
      <c r="M38" s="868"/>
    </row>
    <row r="39" spans="1:13">
      <c r="A39" s="781">
        <v>21451</v>
      </c>
      <c r="B39" s="793" t="s">
        <v>182</v>
      </c>
      <c r="C39" s="782"/>
      <c r="D39" s="244">
        <v>860</v>
      </c>
      <c r="E39" s="875"/>
      <c r="F39" s="875"/>
      <c r="G39" s="785"/>
      <c r="H39" s="785"/>
      <c r="I39" s="789"/>
      <c r="J39" s="787"/>
      <c r="K39" s="866"/>
      <c r="L39" s="867"/>
      <c r="M39" s="868"/>
    </row>
    <row r="40" spans="1:13">
      <c r="A40" s="781"/>
      <c r="B40" s="793"/>
      <c r="C40" s="782"/>
      <c r="D40" s="244"/>
      <c r="E40" s="875"/>
      <c r="F40" s="875"/>
      <c r="G40" s="785"/>
      <c r="H40" s="785"/>
      <c r="I40" s="789"/>
      <c r="J40" s="787"/>
      <c r="K40" s="866"/>
      <c r="L40" s="867"/>
      <c r="M40" s="868"/>
    </row>
    <row r="41" spans="1:13">
      <c r="A41" s="781"/>
      <c r="B41" s="793"/>
      <c r="C41" s="782"/>
      <c r="D41" s="244"/>
      <c r="E41" s="875"/>
      <c r="F41" s="875"/>
      <c r="G41" s="785"/>
      <c r="H41" s="785"/>
      <c r="I41" s="789"/>
      <c r="J41" s="787"/>
      <c r="K41" s="866"/>
      <c r="L41" s="867"/>
      <c r="M41" s="868"/>
    </row>
    <row r="42" spans="1:13">
      <c r="A42" s="781"/>
      <c r="B42" s="793"/>
      <c r="C42" s="782"/>
      <c r="D42" s="244"/>
      <c r="E42" s="875"/>
      <c r="F42" s="875"/>
      <c r="G42" s="785" t="s">
        <v>217</v>
      </c>
      <c r="H42" s="785"/>
      <c r="I42" s="789"/>
      <c r="J42" s="787"/>
      <c r="K42" s="866"/>
      <c r="L42" s="867"/>
      <c r="M42" s="868"/>
    </row>
    <row r="43" spans="1:13">
      <c r="A43" s="781"/>
      <c r="B43" s="793"/>
      <c r="C43" s="782"/>
      <c r="D43" s="244"/>
      <c r="E43" s="875"/>
      <c r="F43" s="875"/>
      <c r="G43" s="785"/>
      <c r="H43" s="785"/>
      <c r="I43" s="789"/>
      <c r="J43" s="787"/>
      <c r="K43" s="866"/>
      <c r="L43" s="867"/>
      <c r="M43" s="868"/>
    </row>
    <row r="44" spans="1:13" ht="16.5" customHeight="1">
      <c r="A44" s="781"/>
      <c r="B44" s="793"/>
      <c r="C44" s="794" t="s">
        <v>7</v>
      </c>
      <c r="D44" s="245">
        <f>SUM(D37:D43)</f>
        <v>2720</v>
      </c>
      <c r="E44" s="875"/>
      <c r="F44" s="875"/>
      <c r="G44" s="785"/>
      <c r="H44" s="785"/>
      <c r="I44" s="789"/>
      <c r="J44" s="787"/>
      <c r="K44" s="866"/>
      <c r="L44" s="867"/>
      <c r="M44" s="868"/>
    </row>
    <row r="45" spans="1:13" s="302" customFormat="1" ht="16.5" customHeight="1">
      <c r="A45" s="781"/>
      <c r="B45" s="870"/>
      <c r="C45" s="897"/>
      <c r="D45" s="901"/>
      <c r="E45" s="785"/>
      <c r="F45" s="785"/>
      <c r="G45" s="785"/>
      <c r="H45" s="785"/>
      <c r="I45" s="789"/>
      <c r="J45" s="787"/>
      <c r="K45" s="902"/>
      <c r="L45" s="790"/>
      <c r="M45" s="903"/>
    </row>
    <row r="46" spans="1:13" ht="16.5" customHeight="1">
      <c r="A46" s="904"/>
      <c r="B46" s="873"/>
      <c r="C46" s="874"/>
      <c r="D46" s="874"/>
      <c r="E46" s="875"/>
      <c r="F46" s="875"/>
      <c r="G46" s="785"/>
      <c r="H46" s="785"/>
      <c r="I46" s="789"/>
      <c r="J46" s="787"/>
      <c r="K46" s="866"/>
      <c r="L46" s="867"/>
      <c r="M46" s="868"/>
    </row>
    <row r="47" spans="1:13" ht="16.5" customHeight="1">
      <c r="A47" s="904"/>
      <c r="B47" s="882" t="s">
        <v>183</v>
      </c>
      <c r="C47" s="874"/>
      <c r="D47" s="874"/>
      <c r="E47" s="875"/>
      <c r="F47" s="875"/>
      <c r="G47" s="785"/>
      <c r="H47" s="785"/>
      <c r="I47" s="789"/>
      <c r="J47" s="787"/>
      <c r="K47" s="866"/>
      <c r="L47" s="867"/>
      <c r="M47" s="868"/>
    </row>
    <row r="48" spans="1:13" ht="16.5" customHeight="1" thickBot="1">
      <c r="A48" s="898"/>
      <c r="B48" s="905"/>
      <c r="C48" s="874"/>
      <c r="D48" s="874"/>
      <c r="E48" s="875"/>
      <c r="F48" s="875"/>
      <c r="G48" s="785"/>
      <c r="H48" s="785"/>
      <c r="I48" s="789"/>
      <c r="J48" s="787"/>
      <c r="K48" s="866"/>
      <c r="L48" s="867"/>
      <c r="M48" s="868"/>
    </row>
    <row r="49" spans="1:13" ht="20.25" customHeight="1" thickTop="1" thickBot="1">
      <c r="A49" s="899" t="s">
        <v>177</v>
      </c>
      <c r="B49" s="899" t="s">
        <v>178</v>
      </c>
      <c r="C49" s="900" t="s">
        <v>179</v>
      </c>
      <c r="D49" s="899" t="s">
        <v>180</v>
      </c>
      <c r="E49" s="891"/>
      <c r="F49" s="875"/>
      <c r="G49" s="785"/>
      <c r="H49" s="785"/>
      <c r="I49" s="789"/>
      <c r="J49" s="787"/>
      <c r="K49" s="866"/>
      <c r="L49" s="867"/>
      <c r="M49" s="868"/>
    </row>
    <row r="50" spans="1:13" ht="16.5" customHeight="1" thickTop="1">
      <c r="A50" s="781"/>
      <c r="B50" s="793"/>
      <c r="C50" s="782"/>
      <c r="D50" s="244"/>
      <c r="E50" s="875"/>
      <c r="F50" s="875"/>
      <c r="G50" s="785"/>
      <c r="H50" s="785"/>
      <c r="I50" s="789"/>
      <c r="J50" s="787"/>
      <c r="K50" s="866"/>
      <c r="L50" s="867"/>
      <c r="M50" s="868"/>
    </row>
    <row r="51" spans="1:13" ht="16.5" customHeight="1">
      <c r="A51" s="904"/>
      <c r="B51" s="873"/>
      <c r="C51" s="874"/>
      <c r="D51" s="874"/>
      <c r="E51" s="875"/>
      <c r="F51" s="875"/>
      <c r="G51" s="785"/>
      <c r="H51" s="785"/>
      <c r="I51" s="789"/>
      <c r="J51" s="787"/>
      <c r="K51" s="866"/>
      <c r="L51" s="867"/>
      <c r="M51" s="868"/>
    </row>
    <row r="52" spans="1:13" ht="16.5" customHeight="1">
      <c r="A52" s="904"/>
      <c r="B52" s="873"/>
      <c r="C52" s="794" t="s">
        <v>7</v>
      </c>
      <c r="D52" s="245">
        <f>SUBTOTAL(9,D47:D51)</f>
        <v>0</v>
      </c>
      <c r="E52" s="875"/>
      <c r="F52" s="875"/>
      <c r="G52" s="785"/>
      <c r="H52" s="785"/>
      <c r="I52" s="789"/>
      <c r="J52" s="787"/>
      <c r="K52" s="866"/>
      <c r="L52" s="867"/>
      <c r="M52" s="868"/>
    </row>
    <row r="53" spans="1:13" ht="16.5" customHeight="1">
      <c r="A53" s="904"/>
      <c r="B53" s="873"/>
      <c r="C53" s="874"/>
      <c r="D53" s="874"/>
      <c r="E53" s="875"/>
      <c r="F53" s="875"/>
      <c r="G53" s="785"/>
      <c r="H53" s="785"/>
      <c r="I53" s="789"/>
      <c r="J53" s="787"/>
      <c r="K53" s="866"/>
      <c r="L53" s="867"/>
      <c r="M53" s="868"/>
    </row>
    <row r="54" spans="1:13" ht="16.5" customHeight="1">
      <c r="A54" s="904"/>
      <c r="B54" s="873"/>
      <c r="C54" s="874"/>
      <c r="D54" s="874"/>
      <c r="E54" s="875"/>
      <c r="F54" s="875"/>
      <c r="G54" s="785"/>
      <c r="H54" s="785"/>
      <c r="I54" s="789"/>
      <c r="J54" s="787"/>
      <c r="K54" s="866"/>
      <c r="L54" s="867"/>
      <c r="M54" s="868"/>
    </row>
    <row r="55" spans="1:13" ht="16.5" customHeight="1">
      <c r="A55" s="904"/>
      <c r="B55" s="906" t="s">
        <v>61</v>
      </c>
      <c r="C55" s="907"/>
      <c r="D55" s="908">
        <f>D31+D44+D52</f>
        <v>2720</v>
      </c>
      <c r="E55" s="875"/>
      <c r="F55" s="875"/>
      <c r="G55" s="785"/>
      <c r="H55" s="785"/>
      <c r="I55" s="789"/>
      <c r="J55" s="787"/>
      <c r="K55" s="866"/>
      <c r="L55" s="867"/>
      <c r="M55" s="868"/>
    </row>
    <row r="56" spans="1:13" s="192" customFormat="1">
      <c r="A56" s="909"/>
      <c r="B56" s="910"/>
      <c r="C56" s="911"/>
      <c r="D56" s="912"/>
      <c r="E56" s="913"/>
      <c r="F56" s="913"/>
      <c r="G56" s="913"/>
      <c r="H56" s="913"/>
      <c r="I56" s="914"/>
      <c r="J56" s="915"/>
      <c r="K56" s="916"/>
      <c r="L56" s="917"/>
      <c r="M56" s="918"/>
    </row>
    <row r="57" spans="1:13" s="192" customFormat="1" ht="16.5" customHeight="1">
      <c r="A57" s="909"/>
      <c r="B57" s="919" t="s">
        <v>184</v>
      </c>
      <c r="C57" s="911"/>
      <c r="D57" s="912"/>
      <c r="E57" s="913"/>
      <c r="F57" s="913"/>
      <c r="G57" s="913"/>
      <c r="H57" s="913"/>
      <c r="I57" s="914"/>
      <c r="J57" s="915"/>
      <c r="K57" s="916"/>
      <c r="L57" s="917"/>
      <c r="M57" s="918"/>
    </row>
    <row r="58" spans="1:13" ht="16.5" customHeight="1">
      <c r="A58" s="904"/>
      <c r="B58" s="920" t="s">
        <v>5</v>
      </c>
      <c r="C58" s="921"/>
      <c r="D58" s="962">
        <f>J6+J7+J9+J10+J11+(J12/2)+J14-D60-D61</f>
        <v>512.5</v>
      </c>
      <c r="E58" s="875" t="s">
        <v>469</v>
      </c>
      <c r="F58" s="875"/>
      <c r="G58" s="785"/>
      <c r="H58" s="785"/>
      <c r="I58" s="789"/>
      <c r="J58" s="787"/>
      <c r="K58" s="866"/>
      <c r="L58" s="867"/>
      <c r="M58" s="868"/>
    </row>
    <row r="59" spans="1:13" ht="16.5" customHeight="1">
      <c r="A59" s="904"/>
      <c r="B59" s="920" t="s">
        <v>185</v>
      </c>
      <c r="C59" s="921"/>
      <c r="D59" s="962">
        <f>J3+J4+J5+J8+(J12/2)+J13+J15</f>
        <v>917.5</v>
      </c>
      <c r="E59" s="875"/>
      <c r="F59" s="875"/>
      <c r="G59" s="785"/>
      <c r="H59" s="785"/>
      <c r="I59" s="789"/>
      <c r="J59" s="787"/>
      <c r="K59" s="866"/>
      <c r="L59" s="867"/>
      <c r="M59" s="868"/>
    </row>
    <row r="60" spans="1:13" ht="16.5" customHeight="1">
      <c r="A60" s="904"/>
      <c r="B60" s="920" t="s">
        <v>186</v>
      </c>
      <c r="C60" s="921"/>
      <c r="D60" s="962">
        <f>J14</f>
        <v>355</v>
      </c>
      <c r="E60" s="875"/>
      <c r="F60" s="875"/>
      <c r="G60" s="785"/>
      <c r="H60" s="785"/>
      <c r="I60" s="789"/>
      <c r="J60" s="787"/>
      <c r="K60" s="866"/>
      <c r="L60" s="867"/>
      <c r="M60" s="868"/>
    </row>
    <row r="61" spans="1:13" ht="16.5" customHeight="1">
      <c r="A61" s="904"/>
      <c r="B61" s="920" t="s">
        <v>187</v>
      </c>
      <c r="C61" s="922"/>
      <c r="D61" s="962">
        <f>J10</f>
        <v>191</v>
      </c>
      <c r="E61" s="875"/>
      <c r="F61" s="875"/>
      <c r="G61" s="785"/>
      <c r="H61" s="785"/>
      <c r="I61" s="789"/>
      <c r="J61" s="787"/>
      <c r="K61" s="866"/>
      <c r="L61" s="867"/>
      <c r="M61" s="868"/>
    </row>
    <row r="62" spans="1:13" ht="16.5" customHeight="1">
      <c r="A62" s="904"/>
      <c r="B62" s="906" t="s">
        <v>188</v>
      </c>
      <c r="C62" s="907"/>
      <c r="D62" s="246">
        <f>SUBTOTAL(9,D58:D61)</f>
        <v>1976</v>
      </c>
      <c r="E62" s="875"/>
      <c r="F62" s="875"/>
      <c r="G62" s="785"/>
      <c r="H62" s="785"/>
      <c r="I62" s="789"/>
      <c r="J62" s="787"/>
      <c r="K62" s="866"/>
      <c r="L62" s="867"/>
      <c r="M62" s="868"/>
    </row>
    <row r="63" spans="1:13" ht="16.5" customHeight="1">
      <c r="A63" s="904"/>
      <c r="B63" s="873"/>
      <c r="C63" s="874"/>
      <c r="D63" s="874"/>
      <c r="E63" s="875"/>
      <c r="F63" s="875"/>
      <c r="G63" s="785"/>
      <c r="H63" s="785"/>
      <c r="I63" s="789"/>
      <c r="J63" s="787"/>
      <c r="K63" s="866"/>
      <c r="L63" s="867"/>
      <c r="M63" s="868"/>
    </row>
    <row r="64" spans="1:13" ht="16.5" customHeight="1">
      <c r="A64" s="904"/>
      <c r="B64" s="793"/>
      <c r="C64" s="874"/>
      <c r="D64" s="874"/>
      <c r="E64" s="875"/>
      <c r="F64" s="875"/>
      <c r="G64" s="785"/>
      <c r="H64" s="785"/>
      <c r="I64" s="789"/>
      <c r="J64" s="787"/>
      <c r="K64" s="866"/>
      <c r="L64" s="867"/>
      <c r="M64" s="868"/>
    </row>
    <row r="65" spans="1:13" ht="16.5" customHeight="1">
      <c r="A65" s="923"/>
      <c r="B65" s="924" t="s">
        <v>189</v>
      </c>
      <c r="C65" s="925" t="s">
        <v>190</v>
      </c>
      <c r="D65" s="926">
        <f>D55/D62</f>
        <v>1.3765182186234817</v>
      </c>
      <c r="E65" s="875"/>
      <c r="F65" s="875"/>
      <c r="G65" s="785"/>
      <c r="H65" s="785"/>
      <c r="I65" s="789"/>
      <c r="J65" s="787"/>
      <c r="K65" s="866"/>
      <c r="L65" s="867"/>
      <c r="M65" s="868"/>
    </row>
    <row r="66" spans="1:13" ht="16.5" customHeight="1">
      <c r="A66" s="875"/>
      <c r="B66" s="927"/>
      <c r="C66" s="927" t="s">
        <v>180</v>
      </c>
      <c r="D66" s="875"/>
      <c r="E66" s="875"/>
      <c r="F66" s="875"/>
      <c r="G66" s="785"/>
      <c r="H66" s="785"/>
      <c r="I66" s="789"/>
      <c r="J66" s="787"/>
      <c r="K66" s="866"/>
      <c r="L66" s="867"/>
      <c r="M66" s="868"/>
    </row>
    <row r="67" spans="1:13" ht="15" customHeight="1">
      <c r="A67" s="875"/>
      <c r="B67" s="920" t="s">
        <v>5</v>
      </c>
      <c r="C67" s="928">
        <v>0</v>
      </c>
      <c r="D67" s="963">
        <f>D58*D65</f>
        <v>705.46558704453435</v>
      </c>
      <c r="E67" s="875"/>
      <c r="F67" s="875"/>
      <c r="G67" s="785"/>
      <c r="H67" s="785"/>
      <c r="I67" s="789"/>
      <c r="J67" s="787"/>
      <c r="K67" s="866"/>
      <c r="L67" s="867"/>
      <c r="M67" s="868"/>
    </row>
    <row r="68" spans="1:13" ht="15" customHeight="1">
      <c r="A68" s="929"/>
      <c r="B68" s="920" t="s">
        <v>185</v>
      </c>
      <c r="C68" s="875"/>
      <c r="D68" s="963">
        <f>D59*D65</f>
        <v>1262.9554655870445</v>
      </c>
      <c r="E68" s="875"/>
      <c r="F68" s="875"/>
      <c r="G68" s="785"/>
      <c r="H68" s="785"/>
      <c r="I68" s="789"/>
      <c r="J68" s="787"/>
      <c r="K68" s="866"/>
      <c r="L68" s="867"/>
      <c r="M68" s="868"/>
    </row>
    <row r="69" spans="1:13" ht="15" customHeight="1">
      <c r="A69" s="542"/>
      <c r="B69" s="920" t="s">
        <v>186</v>
      </c>
      <c r="C69" s="874"/>
      <c r="D69" s="963">
        <f>D60*D65</f>
        <v>488.66396761133598</v>
      </c>
      <c r="E69" s="875"/>
      <c r="F69" s="875"/>
      <c r="G69" s="785"/>
      <c r="H69" s="785"/>
      <c r="I69" s="789"/>
      <c r="J69" s="787"/>
      <c r="K69" s="866"/>
      <c r="L69" s="867"/>
      <c r="M69" s="868"/>
    </row>
    <row r="70" spans="1:13" ht="15" customHeight="1">
      <c r="A70" s="542"/>
      <c r="B70" s="920" t="s">
        <v>187</v>
      </c>
      <c r="C70" s="874"/>
      <c r="D70" s="963">
        <f>D61*D65</f>
        <v>262.91497975708501</v>
      </c>
      <c r="E70" s="875"/>
      <c r="F70" s="875"/>
      <c r="G70" s="785"/>
      <c r="H70" s="785"/>
      <c r="I70" s="789"/>
      <c r="J70" s="787"/>
      <c r="K70" s="866"/>
      <c r="L70" s="867"/>
      <c r="M70" s="868"/>
    </row>
    <row r="71" spans="1:13" ht="15" customHeight="1" thickBot="1">
      <c r="A71" s="542"/>
      <c r="B71" s="930" t="s">
        <v>191</v>
      </c>
      <c r="C71" s="931"/>
      <c r="D71" s="247">
        <f>SUM(D67:D70)</f>
        <v>2719.9999999999995</v>
      </c>
      <c r="E71" s="875"/>
      <c r="F71" s="875"/>
      <c r="G71" s="785"/>
      <c r="H71" s="785"/>
      <c r="I71" s="789"/>
      <c r="J71" s="787"/>
      <c r="K71" s="866"/>
      <c r="L71" s="867"/>
      <c r="M71" s="868"/>
    </row>
    <row r="72" spans="1:13" ht="15" customHeight="1" thickTop="1">
      <c r="A72" s="542"/>
      <c r="B72" s="873"/>
      <c r="C72" s="874"/>
      <c r="D72" s="874"/>
      <c r="E72" s="875"/>
      <c r="F72" s="875"/>
      <c r="G72" s="785"/>
      <c r="H72" s="785"/>
      <c r="I72" s="789"/>
      <c r="J72" s="787"/>
      <c r="K72" s="866"/>
      <c r="L72" s="867"/>
      <c r="M72" s="868"/>
    </row>
    <row r="73" spans="1:13" ht="15" customHeight="1">
      <c r="A73" s="542"/>
      <c r="B73" s="873"/>
      <c r="C73" s="874"/>
      <c r="D73" s="874"/>
      <c r="E73" s="875"/>
      <c r="F73" s="875"/>
      <c r="G73" s="785"/>
      <c r="H73" s="785"/>
      <c r="I73" s="789"/>
      <c r="J73" s="787"/>
      <c r="K73" s="866"/>
      <c r="L73" s="867"/>
      <c r="M73" s="868"/>
    </row>
    <row r="74" spans="1:13" ht="15" customHeight="1">
      <c r="A74" s="542"/>
      <c r="B74" s="873"/>
      <c r="C74" s="874"/>
      <c r="D74" s="874"/>
      <c r="E74" s="875"/>
      <c r="F74" s="875"/>
      <c r="G74" s="785"/>
      <c r="H74" s="785"/>
      <c r="I74" s="789"/>
      <c r="J74" s="787"/>
      <c r="K74" s="866"/>
      <c r="L74" s="867"/>
      <c r="M74" s="868"/>
    </row>
    <row r="75" spans="1:13" ht="15" customHeight="1">
      <c r="A75" s="542"/>
      <c r="B75" s="873"/>
      <c r="C75" s="874"/>
      <c r="D75" s="874"/>
      <c r="E75" s="875"/>
      <c r="F75" s="875"/>
      <c r="G75" s="785"/>
      <c r="H75" s="785"/>
      <c r="I75" s="789"/>
      <c r="J75" s="787"/>
      <c r="K75" s="866"/>
      <c r="L75" s="867"/>
      <c r="M75" s="868"/>
    </row>
    <row r="76" spans="1:13" ht="15" customHeight="1">
      <c r="A76" s="542"/>
      <c r="B76" s="873"/>
      <c r="C76" s="874"/>
      <c r="D76" s="874"/>
      <c r="E76" s="875"/>
      <c r="F76" s="875"/>
      <c r="G76" s="785"/>
      <c r="H76" s="785"/>
      <c r="I76" s="789"/>
      <c r="J76" s="787"/>
      <c r="K76" s="866"/>
      <c r="L76" s="867"/>
      <c r="M76" s="868"/>
    </row>
    <row r="77" spans="1:13" ht="15" customHeight="1">
      <c r="A77" s="542"/>
      <c r="B77" s="873"/>
      <c r="C77" s="874"/>
      <c r="D77" s="874"/>
      <c r="E77" s="875"/>
      <c r="F77" s="875"/>
      <c r="G77" s="785"/>
      <c r="H77" s="785"/>
      <c r="I77" s="789"/>
      <c r="J77" s="787"/>
      <c r="K77" s="866"/>
      <c r="L77" s="867"/>
      <c r="M77" s="868"/>
    </row>
    <row r="78" spans="1:13" ht="15" customHeight="1">
      <c r="A78" s="542"/>
      <c r="B78" s="873"/>
      <c r="C78" s="874"/>
      <c r="D78" s="874"/>
      <c r="E78" s="875"/>
      <c r="F78" s="875"/>
      <c r="G78" s="785"/>
      <c r="H78" s="785"/>
      <c r="I78" s="789"/>
      <c r="J78" s="787"/>
      <c r="K78" s="866"/>
      <c r="L78" s="867"/>
      <c r="M78" s="868"/>
    </row>
    <row r="79" spans="1:13" ht="15" customHeight="1">
      <c r="A79" s="542"/>
      <c r="B79" s="873"/>
      <c r="C79" s="874"/>
      <c r="D79" s="874"/>
      <c r="E79" s="875"/>
      <c r="F79" s="875"/>
      <c r="G79" s="785"/>
      <c r="H79" s="785"/>
      <c r="I79" s="789"/>
      <c r="J79" s="787"/>
      <c r="K79" s="866"/>
      <c r="L79" s="867"/>
      <c r="M79" s="868"/>
    </row>
    <row r="80" spans="1:13" ht="15" customHeight="1">
      <c r="A80" s="542"/>
      <c r="B80" s="873"/>
      <c r="C80" s="874"/>
      <c r="D80" s="874"/>
      <c r="E80" s="875"/>
      <c r="F80" s="875"/>
      <c r="G80" s="785"/>
      <c r="H80" s="785"/>
      <c r="I80" s="789"/>
      <c r="J80" s="787"/>
      <c r="K80" s="866"/>
      <c r="L80" s="867"/>
      <c r="M80" s="868"/>
    </row>
    <row r="81" spans="1:13" ht="15" customHeight="1">
      <c r="A81" s="542"/>
      <c r="B81" s="873"/>
      <c r="C81" s="874"/>
      <c r="D81" s="874"/>
      <c r="E81" s="875"/>
      <c r="F81" s="875"/>
      <c r="G81" s="785"/>
      <c r="H81" s="785"/>
      <c r="I81" s="789"/>
      <c r="J81" s="787"/>
      <c r="K81" s="866"/>
      <c r="L81" s="867"/>
      <c r="M81" s="868"/>
    </row>
    <row r="82" spans="1:13" ht="15" customHeight="1">
      <c r="A82" s="542"/>
      <c r="B82" s="873"/>
      <c r="C82" s="874"/>
      <c r="D82" s="874"/>
      <c r="E82" s="875"/>
      <c r="F82" s="875"/>
      <c r="G82" s="785"/>
      <c r="H82" s="785"/>
      <c r="I82" s="789"/>
      <c r="J82" s="787"/>
      <c r="K82" s="866"/>
      <c r="L82" s="867"/>
      <c r="M82" s="868"/>
    </row>
    <row r="83" spans="1:13" ht="15" customHeight="1">
      <c r="A83" s="542"/>
      <c r="B83" s="873"/>
      <c r="C83" s="874"/>
      <c r="D83" s="874"/>
      <c r="E83" s="875"/>
      <c r="F83" s="875"/>
      <c r="G83" s="785"/>
      <c r="H83" s="785"/>
      <c r="I83" s="789"/>
      <c r="J83" s="787"/>
      <c r="K83" s="866"/>
      <c r="L83" s="867"/>
      <c r="M83" s="868"/>
    </row>
    <row r="84" spans="1:13" ht="15" customHeight="1">
      <c r="A84" s="542"/>
      <c r="B84" s="873"/>
      <c r="C84" s="874"/>
      <c r="D84" s="874"/>
      <c r="E84" s="875"/>
      <c r="F84" s="875"/>
      <c r="G84" s="785"/>
      <c r="H84" s="785"/>
      <c r="I84" s="789"/>
      <c r="J84" s="787"/>
      <c r="K84" s="866"/>
      <c r="L84" s="867"/>
      <c r="M84" s="868"/>
    </row>
    <row r="85" spans="1:13" ht="15" customHeight="1">
      <c r="A85" s="542"/>
      <c r="B85" s="873"/>
      <c r="C85" s="874"/>
      <c r="D85" s="874"/>
      <c r="E85" s="875"/>
      <c r="F85" s="875"/>
      <c r="G85" s="785"/>
      <c r="H85" s="785"/>
      <c r="I85" s="789"/>
      <c r="J85" s="787"/>
      <c r="K85" s="866"/>
      <c r="L85" s="867"/>
      <c r="M85" s="868"/>
    </row>
    <row r="86" spans="1:13" ht="15" customHeight="1">
      <c r="A86" s="542"/>
      <c r="B86" s="873"/>
      <c r="C86" s="874"/>
      <c r="D86" s="874"/>
      <c r="E86" s="875"/>
      <c r="F86" s="875"/>
      <c r="G86" s="785"/>
      <c r="H86" s="785"/>
      <c r="I86" s="789"/>
      <c r="J86" s="787"/>
      <c r="K86" s="866"/>
      <c r="L86" s="867"/>
      <c r="M86" s="868"/>
    </row>
    <row r="87" spans="1:13" ht="15" customHeight="1">
      <c r="A87" s="542"/>
      <c r="B87" s="873"/>
      <c r="C87" s="874"/>
      <c r="D87" s="874"/>
      <c r="E87" s="875"/>
      <c r="F87" s="875"/>
      <c r="G87" s="785"/>
      <c r="H87" s="785"/>
      <c r="I87" s="789"/>
      <c r="J87" s="787"/>
      <c r="K87" s="866"/>
      <c r="L87" s="867"/>
      <c r="M87" s="868"/>
    </row>
    <row r="88" spans="1:13" ht="15" customHeight="1">
      <c r="A88" s="542"/>
      <c r="B88" s="873"/>
      <c r="C88" s="874"/>
      <c r="D88" s="874"/>
      <c r="E88" s="875"/>
      <c r="F88" s="875"/>
      <c r="G88" s="785"/>
      <c r="H88" s="785"/>
      <c r="I88" s="789"/>
      <c r="J88" s="787"/>
      <c r="K88" s="866"/>
      <c r="L88" s="867"/>
      <c r="M88" s="868"/>
    </row>
    <row r="89" spans="1:13" ht="15" customHeight="1">
      <c r="A89" s="542"/>
      <c r="B89" s="873"/>
      <c r="C89" s="874"/>
      <c r="D89" s="874"/>
      <c r="E89" s="875"/>
      <c r="F89" s="875"/>
      <c r="G89" s="785"/>
      <c r="H89" s="785"/>
      <c r="I89" s="789"/>
      <c r="J89" s="787"/>
      <c r="K89" s="866"/>
      <c r="L89" s="867"/>
      <c r="M89" s="868"/>
    </row>
    <row r="90" spans="1:13" ht="15" customHeight="1">
      <c r="A90" s="542"/>
      <c r="B90" s="873"/>
      <c r="C90" s="874"/>
      <c r="D90" s="874"/>
      <c r="E90" s="875"/>
      <c r="F90" s="875"/>
      <c r="G90" s="785"/>
      <c r="H90" s="785"/>
      <c r="I90" s="789"/>
      <c r="J90" s="787"/>
      <c r="K90" s="866"/>
      <c r="L90" s="867"/>
      <c r="M90" s="868"/>
    </row>
    <row r="91" spans="1:13" ht="15" customHeight="1">
      <c r="A91" s="542"/>
      <c r="B91" s="873"/>
      <c r="C91" s="874"/>
      <c r="D91" s="874"/>
      <c r="E91" s="875"/>
      <c r="F91" s="875"/>
      <c r="G91" s="785"/>
      <c r="H91" s="785"/>
      <c r="I91" s="789"/>
      <c r="J91" s="787"/>
      <c r="K91" s="866"/>
      <c r="L91" s="867"/>
      <c r="M91" s="868"/>
    </row>
    <row r="92" spans="1:13" ht="15" customHeight="1">
      <c r="A92" s="542"/>
      <c r="B92" s="873"/>
      <c r="C92" s="874"/>
      <c r="D92" s="874"/>
      <c r="E92" s="875"/>
      <c r="F92" s="875"/>
      <c r="G92" s="785"/>
      <c r="H92" s="785"/>
      <c r="I92" s="789"/>
      <c r="J92" s="787"/>
      <c r="K92" s="866"/>
      <c r="L92" s="867"/>
      <c r="M92" s="868"/>
    </row>
    <row r="93" spans="1:13" ht="15" customHeight="1">
      <c r="A93" s="542"/>
      <c r="B93" s="873"/>
      <c r="C93" s="874"/>
      <c r="D93" s="874"/>
      <c r="E93" s="875"/>
      <c r="F93" s="875"/>
      <c r="G93" s="785"/>
      <c r="H93" s="785"/>
      <c r="I93" s="789"/>
      <c r="J93" s="787"/>
      <c r="K93" s="866"/>
      <c r="L93" s="867"/>
      <c r="M93" s="868"/>
    </row>
    <row r="94" spans="1:13" ht="15" customHeight="1">
      <c r="A94" s="542"/>
      <c r="B94" s="873"/>
      <c r="C94" s="874"/>
      <c r="D94" s="874"/>
      <c r="E94" s="875"/>
      <c r="F94" s="875"/>
      <c r="G94" s="785"/>
      <c r="H94" s="785"/>
      <c r="I94" s="789"/>
      <c r="J94" s="787"/>
      <c r="K94" s="866"/>
      <c r="L94" s="867"/>
      <c r="M94" s="868"/>
    </row>
    <row r="95" spans="1:13" ht="15" customHeight="1">
      <c r="A95" s="542"/>
      <c r="B95" s="873"/>
      <c r="C95" s="874"/>
      <c r="D95" s="874"/>
      <c r="E95" s="875"/>
      <c r="F95" s="875"/>
      <c r="G95" s="785"/>
      <c r="H95" s="785"/>
      <c r="I95" s="789"/>
      <c r="J95" s="787"/>
      <c r="K95" s="866"/>
      <c r="L95" s="867"/>
      <c r="M95" s="868"/>
    </row>
    <row r="96" spans="1:13" ht="15" customHeight="1">
      <c r="A96" s="542"/>
      <c r="B96" s="873"/>
      <c r="C96" s="874"/>
      <c r="D96" s="874"/>
      <c r="E96" s="875"/>
      <c r="F96" s="875"/>
      <c r="G96" s="785"/>
      <c r="H96" s="785"/>
      <c r="I96" s="789"/>
      <c r="J96" s="787"/>
      <c r="K96" s="866"/>
      <c r="L96" s="867"/>
      <c r="M96" s="868"/>
    </row>
    <row r="97" spans="1:13" ht="15" customHeight="1">
      <c r="A97" s="542"/>
      <c r="B97" s="873"/>
      <c r="C97" s="874"/>
      <c r="D97" s="874"/>
      <c r="E97" s="875"/>
      <c r="F97" s="875"/>
      <c r="G97" s="785"/>
      <c r="H97" s="785"/>
      <c r="I97" s="789"/>
      <c r="J97" s="787"/>
      <c r="K97" s="866"/>
      <c r="L97" s="867"/>
      <c r="M97" s="868"/>
    </row>
    <row r="98" spans="1:13" ht="15" customHeight="1">
      <c r="A98" s="542"/>
      <c r="B98" s="873"/>
      <c r="C98" s="874"/>
      <c r="D98" s="874"/>
      <c r="E98" s="875"/>
      <c r="F98" s="875"/>
      <c r="G98" s="785"/>
      <c r="H98" s="785"/>
      <c r="I98" s="789"/>
      <c r="J98" s="787"/>
      <c r="K98" s="866"/>
      <c r="L98" s="867"/>
      <c r="M98" s="868"/>
    </row>
    <row r="99" spans="1:13" ht="15" customHeight="1">
      <c r="A99" s="542"/>
      <c r="B99" s="873"/>
      <c r="C99" s="874"/>
      <c r="D99" s="874"/>
      <c r="E99" s="875"/>
      <c r="F99" s="875"/>
      <c r="G99" s="785"/>
      <c r="H99" s="785"/>
      <c r="I99" s="789"/>
      <c r="J99" s="787"/>
      <c r="K99" s="866"/>
      <c r="L99" s="867"/>
      <c r="M99" s="868"/>
    </row>
    <row r="100" spans="1:13" ht="15" customHeight="1">
      <c r="A100" s="542"/>
      <c r="B100" s="873"/>
      <c r="C100" s="874"/>
      <c r="D100" s="874"/>
      <c r="E100" s="875"/>
      <c r="F100" s="875"/>
      <c r="G100" s="785"/>
      <c r="H100" s="785"/>
      <c r="I100" s="789"/>
      <c r="J100" s="787"/>
      <c r="K100" s="866"/>
      <c r="L100" s="867"/>
      <c r="M100" s="868"/>
    </row>
    <row r="101" spans="1:13" ht="15" customHeight="1">
      <c r="A101" s="542"/>
      <c r="B101" s="873"/>
      <c r="C101" s="874"/>
      <c r="D101" s="874"/>
      <c r="E101" s="875"/>
      <c r="F101" s="875"/>
      <c r="G101" s="785"/>
      <c r="H101" s="785"/>
      <c r="I101" s="789"/>
      <c r="J101" s="787"/>
      <c r="K101" s="866"/>
      <c r="L101" s="867"/>
      <c r="M101" s="868"/>
    </row>
    <row r="102" spans="1:13" ht="15" customHeight="1">
      <c r="A102" s="542"/>
      <c r="B102" s="873"/>
      <c r="C102" s="874"/>
      <c r="D102" s="874"/>
      <c r="E102" s="875"/>
      <c r="F102" s="875"/>
      <c r="G102" s="785"/>
      <c r="H102" s="785"/>
      <c r="I102" s="789"/>
      <c r="J102" s="787"/>
      <c r="K102" s="866"/>
      <c r="L102" s="867"/>
      <c r="M102" s="868"/>
    </row>
    <row r="103" spans="1:13" ht="15" customHeight="1">
      <c r="A103" s="542"/>
      <c r="B103" s="873"/>
      <c r="C103" s="874"/>
      <c r="D103" s="874"/>
      <c r="E103" s="875"/>
      <c r="F103" s="875"/>
      <c r="G103" s="785"/>
      <c r="H103" s="785"/>
      <c r="I103" s="789"/>
      <c r="J103" s="787"/>
      <c r="K103" s="866"/>
      <c r="L103" s="867"/>
      <c r="M103" s="868"/>
    </row>
    <row r="104" spans="1:13" ht="15" customHeight="1">
      <c r="A104" s="542"/>
      <c r="B104" s="873"/>
      <c r="C104" s="874"/>
      <c r="D104" s="874"/>
      <c r="E104" s="875"/>
      <c r="F104" s="875"/>
      <c r="G104" s="785"/>
      <c r="H104" s="785"/>
      <c r="I104" s="789"/>
      <c r="J104" s="787"/>
      <c r="K104" s="866"/>
      <c r="L104" s="867"/>
      <c r="M104" s="868"/>
    </row>
    <row r="105" spans="1:13" ht="15" customHeight="1">
      <c r="A105" s="542"/>
      <c r="B105" s="873"/>
      <c r="C105" s="874"/>
      <c r="D105" s="874"/>
      <c r="E105" s="875"/>
      <c r="F105" s="875"/>
      <c r="G105" s="785"/>
      <c r="H105" s="785"/>
      <c r="I105" s="789"/>
      <c r="J105" s="787"/>
      <c r="K105" s="866"/>
      <c r="L105" s="867"/>
      <c r="M105" s="868"/>
    </row>
    <row r="106" spans="1:13" ht="15" customHeight="1">
      <c r="A106" s="542"/>
      <c r="B106" s="873"/>
      <c r="C106" s="874"/>
      <c r="D106" s="874"/>
      <c r="E106" s="875"/>
      <c r="F106" s="875"/>
      <c r="G106" s="785"/>
      <c r="H106" s="785"/>
      <c r="I106" s="789"/>
      <c r="J106" s="787"/>
      <c r="K106" s="866"/>
      <c r="L106" s="867"/>
      <c r="M106" s="868"/>
    </row>
    <row r="107" spans="1:13" ht="15" customHeight="1">
      <c r="A107" s="542"/>
      <c r="B107" s="873"/>
      <c r="C107" s="874"/>
      <c r="D107" s="874"/>
      <c r="E107" s="875"/>
      <c r="F107" s="875"/>
      <c r="G107" s="785"/>
      <c r="H107" s="785"/>
      <c r="I107" s="789"/>
      <c r="J107" s="787"/>
      <c r="K107" s="866"/>
      <c r="L107" s="867"/>
      <c r="M107" s="868"/>
    </row>
    <row r="108" spans="1:13" ht="15" customHeight="1">
      <c r="A108" s="542"/>
      <c r="B108" s="873"/>
      <c r="C108" s="874"/>
      <c r="D108" s="874"/>
      <c r="E108" s="875"/>
      <c r="F108" s="875"/>
      <c r="G108" s="785"/>
      <c r="H108" s="785"/>
      <c r="I108" s="789"/>
      <c r="J108" s="787"/>
      <c r="K108" s="866"/>
      <c r="L108" s="867"/>
      <c r="M108" s="868"/>
    </row>
    <row r="109" spans="1:13" ht="15" customHeight="1">
      <c r="A109" s="542"/>
      <c r="B109" s="873"/>
      <c r="C109" s="782"/>
      <c r="D109" s="874"/>
      <c r="E109" s="875"/>
      <c r="F109" s="875"/>
      <c r="G109" s="785"/>
      <c r="H109" s="785"/>
      <c r="I109" s="789"/>
      <c r="J109" s="932"/>
      <c r="K109" s="866"/>
      <c r="L109" s="867"/>
      <c r="M109" s="868"/>
    </row>
    <row r="110" spans="1:13" ht="15" customHeight="1">
      <c r="A110" s="933"/>
      <c r="B110" s="873"/>
      <c r="C110" s="782"/>
      <c r="D110" s="874"/>
      <c r="E110" s="875"/>
      <c r="F110" s="875"/>
      <c r="G110" s="785"/>
      <c r="H110" s="785"/>
      <c r="I110" s="789"/>
      <c r="J110" s="932"/>
      <c r="K110" s="866"/>
      <c r="L110" s="867"/>
      <c r="M110" s="868"/>
    </row>
    <row r="111" spans="1:13" ht="15" customHeight="1">
      <c r="A111" s="542"/>
      <c r="B111" s="873"/>
      <c r="C111" s="874"/>
      <c r="D111" s="874"/>
      <c r="E111" s="934"/>
      <c r="F111" s="934"/>
      <c r="G111" s="785"/>
      <c r="H111" s="785"/>
      <c r="I111" s="789"/>
      <c r="J111" s="932"/>
      <c r="K111" s="248"/>
      <c r="L111" s="867"/>
      <c r="M111" s="868"/>
    </row>
    <row r="112" spans="1:13" ht="15" customHeight="1">
      <c r="A112" s="542"/>
      <c r="B112" s="873"/>
      <c r="C112" s="782"/>
      <c r="D112" s="782"/>
      <c r="E112" s="934"/>
      <c r="F112" s="875"/>
      <c r="G112" s="785"/>
      <c r="H112" s="785"/>
      <c r="I112" s="789"/>
      <c r="J112" s="932"/>
      <c r="K112" s="248"/>
      <c r="L112" s="867"/>
      <c r="M112" s="868"/>
    </row>
    <row r="113" spans="1:13" ht="15" customHeight="1">
      <c r="A113" s="542"/>
      <c r="B113" s="873"/>
      <c r="C113" s="782"/>
      <c r="D113" s="935"/>
      <c r="E113" s="934"/>
      <c r="F113" s="934"/>
      <c r="G113" s="785"/>
      <c r="H113" s="785"/>
      <c r="I113" s="789"/>
      <c r="J113" s="932"/>
      <c r="K113" s="866"/>
      <c r="L113" s="867"/>
      <c r="M113" s="868"/>
    </row>
    <row r="114" spans="1:13" ht="15" customHeight="1">
      <c r="A114" s="936"/>
      <c r="B114" s="937"/>
      <c r="C114" s="891"/>
      <c r="D114" s="891"/>
      <c r="E114" s="934"/>
      <c r="F114" s="875"/>
      <c r="G114" s="785"/>
      <c r="H114" s="785"/>
      <c r="I114" s="789"/>
      <c r="J114" s="789"/>
      <c r="K114" s="866"/>
      <c r="L114" s="867"/>
      <c r="M114" s="868"/>
    </row>
    <row r="115" spans="1:13" ht="15" customHeight="1">
      <c r="A115" s="936"/>
      <c r="B115" s="938"/>
      <c r="C115" s="891"/>
      <c r="D115" s="891"/>
      <c r="E115" s="875"/>
      <c r="F115" s="875"/>
      <c r="G115" s="785"/>
      <c r="H115" s="785"/>
      <c r="I115" s="789"/>
      <c r="J115" s="789"/>
      <c r="K115" s="866"/>
      <c r="L115" s="867"/>
      <c r="M115" s="868"/>
    </row>
    <row r="116" spans="1:13" ht="15" customHeight="1" thickBot="1">
      <c r="A116" s="936"/>
      <c r="B116" s="939"/>
      <c r="C116" s="940"/>
      <c r="D116" s="940"/>
      <c r="E116" s="941"/>
      <c r="F116" s="941"/>
      <c r="G116" s="942"/>
      <c r="H116" s="942"/>
      <c r="I116" s="872"/>
      <c r="J116" s="872"/>
      <c r="K116" s="943"/>
      <c r="L116" s="944"/>
      <c r="M116" s="945"/>
    </row>
  </sheetData>
  <autoFilter ref="B2:C17"/>
  <pageMargins left="0.75" right="0.75" top="1" bottom="1" header="0.5" footer="0.5"/>
  <pageSetup paperSize="9" orientation="portrait" horizontalDpi="180" verticalDpi="18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2558-09</vt:lpstr>
      <vt:lpstr>OD</vt:lpstr>
      <vt:lpstr>ปันส่วน</vt:lpstr>
      <vt:lpstr>BKK-กันยายน 58</vt:lpstr>
      <vt:lpstr>CHON-กันยายน 58</vt:lpstr>
      <vt:lpstr>PTY-กันยายน 58</vt:lpstr>
      <vt:lpstr>OutBKK-เงินเดือน ก.ย.</vt:lpstr>
      <vt:lpstr>การใช้รถ -  ระยะไมล์  ก.ย.</vt:lpstr>
      <vt:lpstr>Sheet1</vt:lpstr>
      <vt:lpstr>'2558-09'!Print_Area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</dc:creator>
  <cp:lastModifiedBy>Sopida</cp:lastModifiedBy>
  <cp:lastPrinted>2015-06-09T06:33:56Z</cp:lastPrinted>
  <dcterms:created xsi:type="dcterms:W3CDTF">2010-12-24T07:19:05Z</dcterms:created>
  <dcterms:modified xsi:type="dcterms:W3CDTF">2015-10-20T16:16:17Z</dcterms:modified>
</cp:coreProperties>
</file>